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IZKAIA\"/>
    </mc:Choice>
  </mc:AlternateContent>
  <workbookProtection workbookAlgorithmName="SHA-512" workbookHashValue="UuM8X+v8fkVcI9PikOwtr1h47squCFQ3Lpt7kmaDqxjyQyi+jhO9OqHC0Vvv3x+0O55DszhokKBejWyG7NgSww==" workbookSaltValue="4TeJ19hhYq/XffiuF6bae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X15" i="16"/>
  <c r="X19" i="16" s="1"/>
  <c r="E18" i="6"/>
  <c r="B18" i="6"/>
  <c r="AL18" i="11"/>
  <c r="F9" i="12"/>
  <c r="Y9" i="11"/>
  <c r="U13" i="16"/>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K10" i="12" l="1"/>
  <c r="X11" i="17"/>
  <c r="BD19" i="13"/>
  <c r="BE13" i="8"/>
  <c r="K12" i="12"/>
  <c r="J12" i="12"/>
  <c r="S16" i="16"/>
  <c r="BW16" i="27"/>
  <c r="P16" i="17"/>
  <c r="S16" i="26"/>
  <c r="BL16" i="11"/>
  <c r="BJ16" i="11"/>
  <c r="BH16" i="11"/>
  <c r="BF16" i="11"/>
  <c r="T16" i="26"/>
  <c r="BM16" i="11"/>
  <c r="BI16" i="11"/>
  <c r="BG16" i="11"/>
  <c r="AP16" i="20"/>
  <c r="BV16" i="16"/>
  <c r="BH16" i="16"/>
  <c r="T16" i="16"/>
  <c r="AP16" i="27"/>
  <c r="BU16" i="17"/>
  <c r="Q16" i="17"/>
  <c r="BV16" i="26"/>
  <c r="BH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<sst xmlns="http://schemas.openxmlformats.org/spreadsheetml/2006/main" count="2527" uniqueCount="1027">
  <si>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</si>
  <si>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</si>
  <si>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</si>
  <si>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</si>
  <si>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</si>
  <si>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</si>
  <si>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</si>
  <si>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</si>
  <si>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</si>
  <si>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</si>
  <si>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</si>
  <si>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</si>
  <si>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</si>
  <si>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</si>
  <si>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</si>
  <si>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</si>
  <si>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</si>
  <si>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</si>
  <si>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</si>
  <si>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</si>
  <si>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</si>
  <si>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</si>
  <si>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</si>
  <si>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</si>
  <si>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</si>
  <si>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</si>
  <si>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</si>
  <si>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</si>
  <si>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</si>
  <si>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</si>
  <si>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</si>
  <si>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</si>
  <si>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</si>
  <si>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</si>
  <si>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</si>
  <si>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</si>
  <si>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</si>
  <si>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</si>
  <si>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</si>
  <si>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</si>
  <si>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</si>
  <si>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</si>
  <si>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</si>
  <si>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</si>
  <si>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</si>
  <si>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</si>
  <si>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</si>
  <si>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</si>
  <si>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</si>
  <si>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</si>
  <si>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</si>
  <si>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</si>
  <si>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</si>
  <si>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</si>
  <si>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</si>
  <si>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</si>
  <si>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</si>
  <si>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</si>
  <si>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</si>
  <si>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</si>
  <si>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</si>
  <si>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</si>
  <si>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</si>
  <si>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</si>
  <si>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</si>
  <si>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</si>
  <si>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</si>
  <si>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</si>
  <si>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</si>
  <si>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</si>
  <si>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</si>
  <si>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</si>
  <si>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</si>
  <si>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</si>
  <si>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</si>
  <si>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</si>
  <si>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</si>
  <si>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</si>
  <si>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</si>
  <si>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</si>
  <si>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</si>
  <si>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</si>
  <si>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</si>
  <si>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</si>
  <si>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</si>
  <si>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</si>
  <si>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</si>
  <si>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</si>
  <si>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</si>
  <si>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</si>
  <si>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</si>
  <si>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</si>
  <si>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</si>
  <si>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</si>
  <si>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</si>
  <si>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</si>
  <si>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</si>
  <si>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</si>
  <si>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</si>
  <si>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</si>
  <si>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</si>
  <si>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</si>
  <si>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</si>
  <si>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</si>
  <si>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</si>
  <si>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</si>
  <si>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</si>
  <si>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</si>
  <si>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</si>
  <si>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</si>
  <si>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</si>
  <si>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</si>
  <si>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</si>
  <si>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</si>
  <si>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</si>
  <si>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</si>
  <si>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</si>
  <si>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</si>
  <si>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</si>
  <si>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</si>
  <si>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</si>
  <si>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</si>
  <si>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</si>
  <si>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</si>
  <si>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</si>
  <si>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</si>
  <si>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</si>
  <si>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</si>
  <si>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</si>
  <si>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</si>
  <si>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</si>
  <si>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</si>
  <si>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</si>
  <si>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</si>
  <si>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</si>
  <si>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</si>
  <si>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</si>
  <si>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</si>
  <si>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</si>
  <si>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</si>
  <si>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</si>
  <si>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</si>
  <si>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</si>
  <si>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</si>
  <si>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</si>
  <si>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</si>
  <si>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</si>
  <si>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</si>
  <si>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</si>
  <si>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</si>
  <si>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</si>
  <si>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</si>
  <si>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</si>
  <si>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</si>
  <si>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</si>
  <si>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</si>
  <si>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</si>
  <si>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</si>
  <si>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</si>
  <si>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</si>
  <si>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</si>
  <si>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</si>
  <si>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</si>
  <si>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</si>
  <si>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</si>
  <si>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</si>
  <si>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</si>
  <si>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</si>
  <si>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</si>
  <si>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</si>
  <si>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</si>
  <si>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</si>
  <si>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</si>
  <si>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</si>
  <si>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</si>
  <si>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</si>
  <si>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</si>
  <si>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</si>
  <si>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</si>
  <si>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</si>
  <si>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</si>
  <si>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</si>
  <si>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</si>
  <si>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</si>
  <si>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</si>
  <si>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</si>
  <si>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</si>
  <si>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</si>
  <si>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</si>
  <si>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</si>
  <si>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</si>
  <si>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</si>
  <si>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</si>
  <si>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</si>
  <si>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</si>
  <si>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</si>
  <si>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</si>
  <si>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</si>
  <si>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</si>
  <si>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</si>
  <si>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</si>
  <si>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</si>
  <si>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</si>
  <si>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</si>
  <si>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</si>
  <si>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</si>
  <si>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</si>
  <si>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</si>
  <si>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</si>
  <si>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</si>
  <si>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</si>
  <si>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</si>
  <si>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</si>
  <si>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</si>
  <si>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</si>
  <si>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</si>
  <si>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</si>
  <si>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</si>
  <si>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</si>
  <si>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</si>
  <si>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</si>
  <si>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</si>
  <si>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</si>
  <si>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</si>
  <si>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</si>
  <si>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</si>
  <si>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</si>
  <si>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</si>
  <si>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</si>
  <si>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</si>
  <si>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</si>
  <si>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</si>
  <si>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</si>
  <si>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</si>
  <si>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</si>
  <si>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</si>
  <si>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</si>
  <si>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</si>
  <si>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</si>
  <si>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</si>
  <si>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</si>
  <si>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</si>
  <si>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</si>
  <si>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</si>
  <si>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</si>
  <si>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</si>
  <si>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</si>
  <si>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</si>
  <si>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</si>
  <si>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</si>
  <si>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</si>
  <si>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</si>
  <si>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</si>
  <si>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</si>
  <si>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</si>
  <si>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</si>
  <si>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</si>
  <si>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</si>
  <si>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</si>
  <si>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</si>
  <si>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</si>
  <si>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</si>
  <si>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</si>
  <si>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</si>
  <si>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</si>
  <si>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</si>
  <si>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</si>
  <si>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</si>
  <si>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</si>
  <si>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</si>
  <si>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</si>
  <si>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</si>
  <si>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</si>
  <si>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</si>
  <si>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</si>
  <si>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</si>
  <si>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</si>
  <si>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</si>
  <si>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</si>
  <si>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</si>
  <si>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</si>
  <si>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</si>
  <si>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</si>
  <si>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</si>
  <si>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</si>
  <si>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</si>
  <si>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</si>
  <si>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</si>
  <si>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</si>
  <si>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</si>
  <si>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</si>
  <si>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</si>
  <si>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</si>
  <si>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</si>
  <si>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</si>
  <si>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</si>
  <si>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</si>
  <si>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</si>
  <si>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</si>
  <si>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</si>
  <si>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</si>
  <si>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</si>
  <si>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</si>
  <si>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</si>
  <si>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</si>
  <si>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</si>
  <si>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</si>
  <si>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</si>
  <si>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</si>
  <si>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</si>
  <si>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</si>
  <si>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</si>
  <si>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</si>
  <si>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</si>
  <si>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</si>
  <si>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</si>
  <si>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</si>
  <si>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</si>
  <si>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</si>
  <si>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</si>
  <si>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</si>
  <si>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</si>
  <si>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</si>
  <si>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</si>
  <si>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</si>
  <si>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</si>
  <si>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</si>
  <si>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</si>
  <si>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</si>
  <si>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</si>
  <si>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</si>
  <si>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</si>
  <si>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</si>
  <si>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</si>
  <si>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</si>
  <si>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</si>
  <si>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</si>
  <si>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</si>
  <si>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</si>
  <si>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</si>
  <si>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</si>
  <si>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</si>
  <si>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</si>
  <si>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</si>
  <si>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</si>
  <si>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</si>
  <si>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</si>
  <si>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</si>
  <si>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</si>
  <si>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</si>
  <si>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</si>
  <si>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</si>
  <si>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</si>
  <si>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</si>
  <si>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</si>
  <si>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</si>
  <si>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</si>
  <si>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</si>
  <si>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</si>
  <si>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</si>
  <si>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</si>
  <si>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</si>
  <si>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</si>
  <si>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</si>
  <si>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</si>
  <si>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</si>
  <si>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</si>
  <si>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</si>
  <si>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</si>
  <si>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</si>
  <si>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</si>
  <si>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</si>
  <si>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</si>
  <si>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</si>
  <si>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</si>
  <si>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</si>
  <si>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</si>
  <si>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</si>
  <si>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</si>
  <si>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</si>
  <si>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</si>
  <si>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</si>
  <si>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</si>
  <si>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</si>
  <si>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</si>
  <si>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</si>
  <si>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</si>
  <si>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</si>
  <si>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</si>
  <si>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</si>
  <si>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</si>
  <si>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</si>
  <si>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</si>
  <si>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</si>
  <si>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</si>
  <si>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</si>
  <si>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</si>
  <si>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</si>
  <si>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</si>
  <si>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</si>
  <si>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</si>
  <si>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</si>
  <si>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</si>
  <si>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</si>
  <si>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</si>
  <si>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</si>
  <si>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</si>
  <si>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</si>
  <si>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</si>
  <si>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</si>
  <si>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</si>
  <si>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</si>
  <si>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</si>
  <si>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</si>
  <si>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</si>
  <si>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</si>
  <si>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</si>
  <si>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</si>
  <si>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</si>
  <si>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</si>
  <si>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</si>
  <si>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</si>
  <si>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</si>
  <si>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</si>
  <si>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</si>
  <si>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</si>
  <si>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</si>
  <si>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</si>
  <si>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</si>
  <si>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</si>
  <si>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</si>
  <si>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</si>
  <si>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</si>
  <si>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</si>
  <si>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</si>
  <si>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</si>
  <si>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</si>
  <si>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</si>
  <si>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</si>
  <si>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</si>
  <si>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</si>
  <si>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</si>
  <si>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</si>
  <si>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</si>
  <si>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</si>
  <si>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</si>
  <si>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</si>
  <si>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</si>
  <si>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</si>
  <si>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</si>
  <si>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</si>
  <si>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</si>
  <si>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</si>
  <si>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</si>
  <si>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</si>
  <si>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</si>
  <si>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</si>
  <si>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</si>
  <si>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</si>
  <si>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</si>
  <si>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</si>
  <si>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</si>
  <si>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</si>
  <si>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</si>
  <si>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</si>
  <si>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</si>
  <si>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</si>
  <si>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</si>
  <si>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</si>
  <si>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</si>
  <si>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</si>
  <si>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</si>
  <si>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</si>
  <si>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</si>
  <si>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</si>
  <si>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</si>
  <si>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</si>
  <si>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</si>
  <si>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</si>
  <si>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</si>
  <si>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</si>
  <si>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</si>
  <si>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</si>
  <si>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</si>
  <si>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</si>
  <si>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</si>
  <si>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</si>
  <si>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</si>
  <si>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</si>
  <si>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</si>
  <si>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</si>
  <si>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</si>
  <si>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</si>
  <si>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</si>
  <si>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</si>
  <si>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</si>
  <si>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</si>
  <si>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</si>
  <si>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</si>
  <si>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</si>
  <si>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</si>
  <si>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</si>
  <si>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</si>
  <si>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</si>
  <si>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</si>
  <si>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</si>
  <si>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</si>
  <si>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</si>
  <si>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</si>
  <si>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</si>
  <si>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</si>
  <si>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</si>
  <si>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</si>
  <si>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</si>
  <si>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</si>
  <si>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</si>
  <si>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</si>
  <si>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</si>
  <si>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</si>
  <si>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</si>
  <si>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</si>
  <si>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</si>
  <si>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</si>
  <si>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</si>
  <si>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</si>
  <si>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</si>
  <si>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</si>
  <si>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</si>
  <si>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</si>
  <si>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</si>
  <si>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</si>
  <si>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</si>
  <si>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</si>
  <si>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</si>
  <si>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</si>
  <si>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</si>
  <si>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</si>
  <si>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</si>
  <si>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</si>
  <si>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</si>
  <si>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</si>
  <si>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</si>
  <si>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</si>
  <si>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</si>
  <si>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</si>
  <si>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</si>
  <si>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</si>
  <si>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</si>
  <si>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</si>
  <si>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</si>
  <si>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</si>
  <si>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</si>
  <si>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</si>
  <si>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</si>
  <si>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</si>
  <si>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</si>
  <si>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</si>
  <si>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</si>
  <si>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</si>
  <si>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</si>
  <si>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</si>
  <si>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</si>
  <si>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</si>
  <si>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</si>
  <si>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</si>
  <si>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</si>
  <si>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</si>
  <si>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</si>
  <si>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</si>
  <si>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</si>
  <si>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</si>
  <si>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</si>
  <si>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</si>
  <si>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</si>
  <si>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</si>
  <si>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</si>
  <si>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</si>
  <si>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</si>
  <si>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</si>
  <si>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</si>
  <si>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</si>
  <si>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</si>
  <si>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</si>
  <si>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</si>
  <si>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</si>
  <si>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</si>
  <si>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</si>
  <si>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</si>
  <si>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</si>
  <si>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</si>
  <si>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</si>
  <si>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</si>
  <si>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</si>
  <si>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</si>
  <si>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</si>
  <si>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</si>
  <si>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</si>
  <si>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</si>
  <si>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</si>
  <si>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</si>
  <si>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</si>
  <si>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</si>
  <si>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</si>
  <si>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</si>
  <si>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</si>
  <si>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</si>
  <si>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</si>
  <si>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</si>
  <si>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</si>
  <si>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</si>
  <si>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</si>
  <si>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</si>
  <si>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</si>
  <si>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</si>
  <si>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</si>
  <si>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</si>
  <si>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</si>
  <si>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</si>
  <si>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</si>
  <si>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</si>
  <si>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</si>
  <si>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</si>
  <si>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</si>
  <si>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</si>
  <si>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</si>
  <si>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</si>
  <si>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</si>
  <si>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</si>
  <si>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</si>
  <si>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</si>
  <si>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</si>
  <si>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</si>
  <si>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</si>
  <si>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</si>
  <si>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</si>
  <si>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</si>
  <si>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</si>
  <si>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</si>
  <si>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</si>
  <si>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</si>
  <si>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</si>
  <si>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</si>
  <si>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</si>
  <si>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</si>
  <si>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</si>
  <si>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</si>
  <si>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</si>
  <si>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</si>
  <si>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</si>
  <si>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</si>
  <si>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</si>
  <si>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</si>
  <si>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</si>
  <si>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</si>
  <si>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</si>
  <si>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</si>
  <si>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</si>
  <si>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</si>
  <si>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</si>
  <si>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</si>
  <si>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</si>
  <si>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</si>
  <si>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</si>
  <si>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</si>
  <si>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</si>
  <si>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</si>
  <si>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</si>
  <si>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</si>
  <si>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</si>
  <si>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</si>
  <si>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</si>
  <si>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</si>
  <si>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</si>
  <si>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</si>
  <si>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</si>
  <si>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</si>
  <si>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</si>
  <si>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</si>
  <si>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</si>
  <si>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</si>
  <si>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</si>
  <si>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</si>
  <si>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</si>
  <si>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</si>
  <si>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</si>
  <si>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</si>
  <si>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</si>
  <si>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</si>
  <si>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</si>
  <si>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</si>
  <si>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</si>
  <si>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</si>
  <si>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</si>
  <si>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</si>
  <si>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</si>
  <si>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</si>
  <si>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</si>
  <si>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</si>
  <si>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</si>
  <si>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</si>
  <si>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</si>
  <si>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</si>
  <si>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</si>
  <si>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</si>
  <si>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</si>
  <si>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</si>
  <si>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</si>
  <si>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</si>
  <si>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</si>
  <si>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</si>
  <si>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</si>
  <si>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</si>
  <si>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</si>
  <si>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</si>
  <si>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</si>
  <si>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</si>
  <si>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</si>
  <si>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</si>
  <si>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</si>
  <si>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</si>
  <si>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</si>
  <si>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</si>
  <si>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</si>
  <si>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</si>
  <si>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</si>
  <si>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</si>
  <si>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</si>
  <si>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</si>
  <si>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</si>
  <si>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</si>
  <si>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</si>
  <si>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</si>
  <si>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</si>
  <si>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</si>
  <si>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</si>
  <si>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</si>
  <si>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</si>
  <si>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</si>
  <si>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</si>
  <si>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</si>
  <si>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</si>
  <si>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</si>
  <si>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</si>
  <si>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</si>
  <si>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</si>
  <si>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</si>
  <si>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</si>
  <si>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</si>
  <si>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</si>
  <si>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</si>
  <si>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</si>
  <si>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</si>
  <si>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</si>
  <si>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</si>
  <si>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</si>
  <si>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</si>
  <si>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</si>
  <si>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</si>
  <si>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</si>
  <si>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</si>
  <si>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</si>
  <si>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</si>
  <si>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</si>
  <si>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</si>
  <si>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</si>
  <si>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</si>
  <si>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</si>
  <si>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</si>
  <si>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</si>
  <si>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</si>
  <si>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</si>
  <si>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</si>
  <si>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</si>
  <si>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</si>
  <si>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</si>
  <si>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</si>
  <si>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</si>
  <si>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</si>
  <si>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</si>
  <si>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</si>
  <si>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</si>
  <si>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</si>
  <si>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</si>
  <si>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</si>
  <si>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</si>
  <si>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</si>
  <si>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</si>
  <si>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</si>
  <si>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</si>
  <si>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</si>
  <si>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</si>
  <si>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</si>
  <si>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</si>
  <si>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</si>
  <si>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</si>
  <si>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</si>
  <si>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</si>
  <si>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</si>
  <si>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</si>
  <si>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</si>
  <si>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</si>
  <si>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</si>
  <si>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</si>
  <si>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</si>
  <si>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</si>
  <si>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</si>
  <si>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</si>
  <si>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</si>
  <si>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</si>
  <si>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</si>
  <si>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</si>
  <si>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</si>
  <si>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</si>
  <si>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</si>
  <si>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</si>
  <si>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</si>
  <si>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</si>
  <si>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</si>
  <si>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</si>
  <si>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</si>
  <si>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</si>
  <si>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</si>
  <si>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</si>
  <si>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</si>
  <si>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</si>
  <si>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</si>
  <si>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</si>
  <si>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</si>
  <si>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</si>
  <si>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</si>
  <si>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</si>
  <si>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</si>
  <si>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</si>
  <si>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</si>
  <si>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</si>
  <si>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</si>
  <si>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</si>
  <si>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</si>
  <si>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</si>
  <si>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</si>
  <si>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</si>
  <si>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</si>
  <si>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</si>
  <si>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</si>
  <si>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</si>
  <si>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</si>
  <si>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</si>
  <si>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</si>
  <si>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</si>
  <si>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</si>
  <si>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</si>
  <si>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</si>
  <si>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</si>
  <si>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</si>
  <si>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</si>
  <si>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</si>
  <si>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</si>
  <si>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</si>
  <si>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</si>
  <si>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</si>
  <si>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</si>
  <si>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</si>
  <si>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</si>
  <si>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</si>
  <si>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</si>
  <si>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</si>
  <si>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</si>
  <si>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</si>
  <si>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</si>
  <si>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</si>
  <si>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</si>
  <si>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</si>
  <si>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</si>
  <si>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</si>
  <si>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</si>
  <si>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</si>
  <si>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</si>
  <si>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</si>
  <si>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</si>
  <si>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</si>
  <si>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</si>
  <si>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</si>
  <si>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</si>
  <si>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</si>
  <si>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</si>
  <si>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</si>
  <si>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</si>
  <si>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</si>
  <si>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</si>
  <si>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</si>
  <si>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</si>
  <si>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</si>
  <si>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</si>
  <si>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</si>
  <si>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</si>
  <si>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</si>
  <si>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</si>
  <si>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</si>
  <si>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</si>
  <si>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</si>
  <si>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</si>
  <si>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</si>
  <si>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</si>
  <si>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</si>
  <si>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</si>
  <si>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</si>
  <si>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</si>
  <si>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</si>
  <si>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</si>
  <si>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</si>
  <si>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</si>
  <si>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</si>
  <si>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</si>
  <si>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</si>
  <si>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</si>
  <si>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</si>
  <si>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</si>
  <si>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</si>
  <si>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</si>
  <si>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</si>
  <si>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</si>
  <si>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</si>
  <si>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</si>
  <si>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</si>
  <si>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</si>
  <si>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</si>
  <si>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</si>
  <si>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</si>
  <si>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</si>
  <si>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</si>
  <si>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</si>
  <si>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</si>
  <si>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</si>
  <si>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</si>
  <si>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</si>
  <si>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</si>
  <si>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</si>
  <si>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</si>
  <si>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</si>
  <si>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</si>
  <si>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</si>
  <si>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</si>
  <si>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</si>
  <si>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</si>
  <si>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</si>
  <si>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</si>
  <si>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</si>
  <si>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</si>
  <si>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</si>
  <si>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</si>
  <si>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</si>
  <si>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</si>
  <si>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</si>
  <si>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</si>
  <si>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</si>
  <si>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</si>
  <si>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</si>
  <si>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</si>
  <si>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</si>
  <si>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</si>
  <si>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</si>
  <si>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</si>
  <si>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</si>
  <si>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</si>
  <si>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</si>
  <si>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</si>
  <si>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</si>
  <si>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</si>
  <si>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</si>
  <si>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</si>
  <si>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</si>
  <si>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</si>
  <si>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</si>
  <si>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</si>
  <si>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</si>
  <si>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</si>
  <si>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</si>
  <si>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</si>
  <si>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</si>
  <si>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</si>
  <si>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</si>
  <si>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</si>
  <si>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</si>
  <si>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</si>
  <si>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</si>
  <si>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</si>
  <si>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</si>
  <si>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</si>
  <si>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</si>
  <si>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</si>
  <si>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</si>
  <si>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</si>
  <si>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</si>
  <si>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</si>
  <si>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</si>
  <si>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</si>
  <si>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</si>
  <si>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</si>
  <si>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</si>
  <si>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</si>
  <si>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</si>
  <si>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</si>
  <si>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</si>
  <si>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</si>
  <si>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</si>
  <si>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</si>
  <si>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</si>
  <si>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</si>
  <si>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</si>
  <si>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</si>
  <si>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</si>
  <si>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</si>
  <si>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</si>
  <si>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</si>
  <si>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</si>
  <si>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</si>
  <si>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</si>
  <si>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</si>
  <si>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</si>
  <si>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</si>
  <si>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</si>
  <si>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</si>
  <si>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</si>
  <si>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</si>
  <si>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BIZKAIA</t>
  </si>
  <si>
    <t>Resumenes por Partidos Judiciales</t>
  </si>
  <si>
    <t>BALMASEDA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</si>
</sst>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RBK5xx7HdgSP3AWoXvM7v/OBbwt6gi59IwZxg+tRF/mSVCbI11i40RF73V57l0omod42IOby0ne/eBkeJcijQ==" saltValue="pKpa+Lj3CuinrwJfBPQCy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BIZKAIA</v>
      </c>
      <c r="D3" s="374"/>
      <c r="E3" s="374"/>
      <c r="F3" s="374"/>
      <c r="BQ3" s="470"/>
    </row>
    <row r="4" spans="1:69" ht="13.5" thickBot="1">
      <c r="A4" s="374"/>
      <c r="B4" s="390" t="str">
        <f>Criterios!A11 &amp;"  "&amp;Criterios!B11</f>
        <v>Resumenes por Partidos Judiciales  BALMASEDA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v>
      </c>
      <c r="D10" s="403">
        <f>IF(ISNUMBER(C10/Datos!BH10),C10/Datos!BH10," - ")</f>
        <v>5</v>
      </c>
      <c r="E10" s="402">
        <f>IF(ISNUMBER(Datos!J10),Datos!J10," - ")</f>
        <v>1</v>
      </c>
      <c r="F10" s="403">
        <f>IF(ISNUMBER(E10/B10),E10/B10," - ")</f>
        <v>1</v>
      </c>
      <c r="G10" s="402">
        <f>IF(ISNUMBER(Datos!K10),Datos!K10," - ")</f>
        <v>1</v>
      </c>
      <c r="H10" s="403">
        <f>IF(ISNUMBER(G10/B10),G10/B10," - ")</f>
        <v>1</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616</v>
      </c>
      <c r="D12" s="403">
        <f>IF(ISNUMBER(C12/Datos!BH12),C12/Datos!BH12," - ")</f>
        <v>308</v>
      </c>
      <c r="E12" s="402">
        <f>IF(ISNUMBER(IF(J_V="SI",Datos!J12,Datos!J12+Datos!Z12)),IF(J_V="SI",Datos!J12,Datos!J12+Datos!Z12)," - ")</f>
        <v>212</v>
      </c>
      <c r="F12" s="403">
        <f>IF(ISNUMBER(E12/B12),E12/B12," - ")</f>
        <v>106</v>
      </c>
      <c r="G12" s="402">
        <f>IF(ISNUMBER(IF(J_V="SI",Datos!K12,Datos!K12+Datos!AA12)),IF(J_V="SI",Datos!K12,Datos!K12+Datos!AA12)," - ")</f>
        <v>236</v>
      </c>
      <c r="H12" s="403">
        <f>IF(ISNUMBER(G12/B12),G12/B12," - ")</f>
        <v>118</v>
      </c>
      <c r="I12" s="402">
        <f>IF(ISNUMBER(IF(J_V="SI",Datos!L12,Datos!L12+Datos!AB12)),IF(J_V="SI",Datos!L12,Datos!L12+Datos!AB12)," - ")</f>
        <v>592</v>
      </c>
      <c r="J12" s="403">
        <f>IF(ISNUMBER(I12/B12),I12/B12," - ")</f>
        <v>296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621</v>
      </c>
      <c r="D13" s="847" t="str">
        <f>IF(ISNUMBER(C13/Datos!BI13),C13/Datos!BI13," - ")</f>
        <v xml:space="preserve"> - </v>
      </c>
      <c r="E13" s="846">
        <f>SUBTOTAL(9,E8:E12)</f>
        <v>213</v>
      </c>
      <c r="F13" s="847">
        <f>IF(ISNUMBER(E13/B13),E13/B13," - ")</f>
        <v>106.5</v>
      </c>
      <c r="G13" s="846">
        <f>SUBTOTAL(9,G8:G12)</f>
        <v>237</v>
      </c>
      <c r="H13" s="847">
        <f>IF(ISNUMBER(G13/B13),G13/B13," - ")</f>
        <v>118.5</v>
      </c>
      <c r="I13" s="846">
        <f>SUBTOTAL(9,I8:I12)</f>
        <v>597</v>
      </c>
      <c r="J13" s="847">
        <f>IF(ISNUMBER(I13/B13),I13/B13," - ")</f>
        <v>298.5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775</v>
      </c>
      <c r="D17" s="403">
        <f>IF(ISNUMBER(C17/Datos!BH17),C17/Datos!BH17," - ")</f>
        <v>387.5</v>
      </c>
      <c r="E17" s="402">
        <f>IF(ISNUMBER(IF(D_I="SI",Datos!J17,Datos!J17+Datos!AD17)),IF(D_I="SI",Datos!J17,Datos!J17+Datos!AD17)," - ")</f>
        <v>194</v>
      </c>
      <c r="F17" s="403">
        <f>IF(ISNUMBER(E17/B17),E17/B17," - ")</f>
        <v>97</v>
      </c>
      <c r="G17" s="402">
        <f>IF(ISNUMBER(IF(D_I="SI",Datos!K17,Datos!K17+Datos!AE17)),IF(D_I="SI",Datos!K17,Datos!K17+Datos!AE17)," - ")</f>
        <v>174</v>
      </c>
      <c r="H17" s="403">
        <f>IF(ISNUMBER(G17/B17),G17/B17," - ")</f>
        <v>87</v>
      </c>
      <c r="I17" s="402">
        <f>IF(ISNUMBER(IF(D_I="SI",Datos!L17,Datos!L17+Datos!AF17)),IF(D_I="SI",Datos!L17,Datos!L17+Datos!AF17)," - ")</f>
        <v>795</v>
      </c>
      <c r="J17" s="403">
        <f>IF(ISNUMBER(I17/B17),I17/B17," - ")</f>
        <v>397.5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68</v>
      </c>
      <c r="D18" s="403">
        <f>IF(ISNUMBER(C18/Datos!BH18),C18/Datos!BH18," - ")</f>
        <v>68</v>
      </c>
      <c r="E18" s="402">
        <f>IF(ISNUMBER(IF(D_I="SI",Datos!J18,Datos!J18+Datos!AD18)),IF(D_I="SI",Datos!J18,Datos!J18+Datos!AD18)," - ")</f>
        <v>37</v>
      </c>
      <c r="F18" s="403">
        <f>IF(ISNUMBER(E18/B18),E18/B18," - ")</f>
        <v>37</v>
      </c>
      <c r="G18" s="402">
        <f>IF(ISNUMBER(IF(D_I="SI",Datos!K18,Datos!K18+Datos!AE18)),IF(D_I="SI",Datos!K18,Datos!K18+Datos!AE18)," - ")</f>
        <v>35</v>
      </c>
      <c r="H18" s="403">
        <f>IF(ISNUMBER(G18/B18),G18/B18," - ")</f>
        <v>35</v>
      </c>
      <c r="I18" s="402">
        <f>IF(ISNUMBER(IF(D_I="SI",Datos!L18,Datos!L18+Datos!AF18)),IF(D_I="SI",Datos!L18,Datos!L18+Datos!AF18)," - ")</f>
        <v>72</v>
      </c>
      <c r="J18" s="403">
        <f>IF(ISNUMBER(I18/B18),I18/B18," - ")</f>
        <v>72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843</v>
      </c>
      <c r="D19" s="847" t="str">
        <f>IF(ISNUMBER(C19/Datos!BI19),C19/Datos!BI19," - ")</f>
        <v xml:space="preserve"> - </v>
      </c>
      <c r="E19" s="846">
        <f>SUBTOTAL(9,E14:E18)</f>
        <v>231</v>
      </c>
      <c r="F19" s="847">
        <f>IF(ISNUMBER(E19/B19),E19/B19," - ")</f>
        <v>115.5</v>
      </c>
      <c r="G19" s="846">
        <f>SUBTOTAL(9,G14:G18)</f>
        <v>209</v>
      </c>
      <c r="H19" s="847">
        <f>IF(ISNUMBER(G19/B19),G19/B19," - ")</f>
        <v>104.5</v>
      </c>
      <c r="I19" s="846">
        <f>SUBTOTAL(9,I14:I18)</f>
        <v>867</v>
      </c>
      <c r="J19" s="847">
        <f>IF(ISNUMBER(I19/B19),I19/B19," - ")</f>
        <v>433.5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1464</v>
      </c>
      <c r="D20" s="792" t="str">
        <f>IF(ISNUMBER(C20/Datos!BI20),C20/Datos!BI20," - ")</f>
        <v xml:space="preserve"> - </v>
      </c>
      <c r="E20" s="791">
        <f>SUBTOTAL(9,E9:E19)</f>
        <v>444</v>
      </c>
      <c r="F20" s="792">
        <f>IF(ISNUMBER(E20/B20),E20/B20," - ")</f>
        <v>222</v>
      </c>
      <c r="G20" s="791">
        <f>SUBTOTAL(9,G9:G19)</f>
        <v>446</v>
      </c>
      <c r="H20" s="792">
        <f>IF(ISNUMBER(G20/B20),G20/B20," - ")</f>
        <v>223</v>
      </c>
      <c r="I20" s="791">
        <f>SUBTOTAL(9,I9:I19)</f>
        <v>1464</v>
      </c>
      <c r="J20" s="792">
        <f>IF(ISNUMBER(I20/B20),I20/B20," - ")</f>
        <v>732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GiL9CSaIAuRoWJsZTNvnetHzmCHABqMh3O8SfT7AqAn6f+RQ/kPE8HowEAQ+NADLb767hlYI1NqZ7REbBn/3Q==" saltValue="LTjm+RRztDyEQVJ7r5XO0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BIZKAIA</v>
      </c>
      <c r="C3" s="414"/>
      <c r="F3" s="374"/>
      <c r="G3" s="374"/>
      <c r="H3" s="374"/>
    </row>
    <row r="4" spans="1:15" ht="13.5" thickBot="1">
      <c r="A4" s="374"/>
      <c r="B4" s="390" t="str">
        <f>Criterios!A11 &amp;"  "&amp;Criterios!B11</f>
        <v>Resumenes por Partidos Judiciales  BALMASEDA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1EI7yMXJidF+zrKi0rRXUlvr1nPutEj40DpycZFrXQSOEjR8x5U+KBSrhUjAGDuSnlRrm4SaWWnCGJfpc85lA==" saltValue="w19gXbBT2qGiVqrHKGV0o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BIZKAIA</v>
      </c>
      <c r="C3" s="390"/>
      <c r="D3" s="424"/>
      <c r="BZ3" s="470"/>
    </row>
    <row r="4" spans="1:78" ht="13.5" thickBot="1">
      <c r="B4" s="390" t="str">
        <f>Criterios!A11 &amp;"  "&amp;Criterios!B11</f>
        <v>Resumenes por Partidos Judiciales  BALMASEDA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55</v>
      </c>
      <c r="E12" s="403">
        <f t="shared" si="0"/>
        <v>27.5</v>
      </c>
      <c r="F12" s="402">
        <f>IF(ISNUMBER(Datos!N12),Datos!N12," - ")</f>
        <v>103</v>
      </c>
      <c r="G12" s="403">
        <f t="shared" si="1"/>
        <v>51.5</v>
      </c>
      <c r="H12" s="402">
        <f>IF(ISNUMBER(Datos!O12),Datos!O12," - ")</f>
        <v>83</v>
      </c>
      <c r="I12" s="403">
        <f t="shared" si="2"/>
        <v>41.5</v>
      </c>
      <c r="BZ12" s="1181">
        <f>Datos!EZ12</f>
        <v>0</v>
      </c>
    </row>
    <row r="13" spans="1:78" ht="14.25" thickTop="1" thickBot="1">
      <c r="A13" s="845" t="str">
        <f>Datos!A13</f>
        <v>TOTAL</v>
      </c>
      <c r="B13" s="846">
        <f>Datos!AP13</f>
        <v>2</v>
      </c>
      <c r="C13" s="848">
        <f>Datos!AR13</f>
        <v>2</v>
      </c>
      <c r="D13" s="846">
        <f>SUBTOTAL(9,D9:D12)</f>
        <v>56</v>
      </c>
      <c r="E13" s="847">
        <f t="shared" si="0"/>
        <v>28</v>
      </c>
      <c r="F13" s="846">
        <f>SUBTOTAL(9,F9:F12)</f>
        <v>103</v>
      </c>
      <c r="G13" s="847">
        <f t="shared" si="1"/>
        <v>51.5</v>
      </c>
      <c r="H13" s="846">
        <f>SUBTOTAL(9,H9:H12)</f>
        <v>83</v>
      </c>
      <c r="I13" s="847">
        <f>IF(ISNUMBER(H13/B13),H13/B13," - ")</f>
        <v>41.5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26</v>
      </c>
      <c r="E17" s="403">
        <f t="shared" si="3"/>
        <v>13</v>
      </c>
      <c r="F17" s="402">
        <f>IF(ISNUMBER(Datos!N17),Datos!N17," - ")</f>
        <v>106</v>
      </c>
      <c r="G17" s="403">
        <f t="shared" si="4"/>
        <v>53</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21</v>
      </c>
      <c r="G18" s="403">
        <f>IF(ISNUMBER(F18/B18),F18/B18," - ")</f>
        <v>21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30</v>
      </c>
      <c r="E19" s="847">
        <f t="shared" si="3"/>
        <v>15</v>
      </c>
      <c r="F19" s="846">
        <f>SUBTOTAL(9,F15:F18)</f>
        <v>127</v>
      </c>
      <c r="G19" s="847">
        <f t="shared" si="4"/>
        <v>63.5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86</v>
      </c>
      <c r="E20" s="792">
        <f>IF(ISNUMBER(D20/B20),D20/B20," - ")</f>
        <v>43</v>
      </c>
      <c r="F20" s="791">
        <f>SUBTOTAL(9,F8:F19)</f>
        <v>230</v>
      </c>
      <c r="G20" s="792">
        <f>IF(ISNUMBER(F20/B20),F20/B20," - ")</f>
        <v>115</v>
      </c>
      <c r="H20" s="791">
        <f>SUBTOTAL(9,H8:H19)</f>
        <v>83</v>
      </c>
      <c r="I20" s="792">
        <f>IF(ISNUMBER(H20/B20),H20/B20," - ")</f>
        <v>41.5</v>
      </c>
    </row>
    <row r="23" spans="1:78">
      <c r="A23" s="390" t="str">
        <f>Criterios!A4</f>
        <v>Fecha Informe: 06 oct. 2026</v>
      </c>
    </row>
    <row r="28" spans="1:78">
      <c r="A28" s="413"/>
    </row>
  </sheetData>
  <sheetProtection algorithmName="SHA-512" hashValue="lKceIcZ2jup4vqNQO99ypI9uMXwjllNZ+Rxz+x46q8VQw7by4BYg9K3/7h+2vRUVgIkRhnUB8BMG0lZgo9WxDQ==" saltValue="70X1STBys4MEhIVunNp2O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BIZKAIA</v>
      </c>
    </row>
    <row r="4" spans="1:4" ht="13.5" thickBot="1">
      <c r="B4" s="390" t="str">
        <f>Criterios!A11 &amp;"  "&amp;Criterios!B11</f>
        <v>Resumenes por Partidos Judiciales  BALMASEDA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52</v>
      </c>
      <c r="C12" s="433">
        <f>IF(ISNUMBER(Datos!Q12),Datos!Q12," - ")</f>
        <v>33</v>
      </c>
      <c r="D12" s="407">
        <f>IF(ISNUMBER(Datos!R12),Datos!R12," - ")</f>
        <v>675</v>
      </c>
    </row>
    <row r="13" spans="1:4" ht="14.25" thickTop="1" thickBot="1">
      <c r="A13" s="845" t="str">
        <f>Datos!A13</f>
        <v>TOTAL</v>
      </c>
      <c r="B13" s="846">
        <f>SUBTOTAL(9,B9:B12)</f>
        <v>52</v>
      </c>
      <c r="C13" s="850">
        <f>SUBTOTAL(9,C9:C12)</f>
        <v>33</v>
      </c>
      <c r="D13" s="848">
        <f>SUBTOTAL(9,D9:D12)</f>
        <v>679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12</v>
      </c>
      <c r="C17" s="433">
        <f>IF(ISNUMBER(Datos!Q17),Datos!Q17," - ")</f>
        <v>3</v>
      </c>
      <c r="D17" s="407">
        <f>IF(ISNUMBER(Datos!R17),Datos!R17," - ")</f>
        <v>66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12</v>
      </c>
      <c r="C19" s="850">
        <f>SUBTOTAL(9,C15:C18)</f>
        <v>3</v>
      </c>
      <c r="D19" s="848">
        <f>SUBTOTAL(9,D15:D18)</f>
        <v>66</v>
      </c>
    </row>
    <row r="20" spans="1:4" ht="16.5" customHeight="1" thickTop="1" thickBot="1">
      <c r="A20" s="790" t="str">
        <f>Datos!A20</f>
        <v>TOTAL JURISDICCIONES</v>
      </c>
      <c r="B20" s="795">
        <f>SUBTOTAL(9,B8:B19)</f>
        <v>64</v>
      </c>
      <c r="C20" s="796">
        <f>SUBTOTAL(9,C8:C19)</f>
        <v>36</v>
      </c>
      <c r="D20" s="797">
        <f>SUBTOTAL(9,D8:D19)</f>
        <v>745</v>
      </c>
    </row>
    <row r="21" spans="1:4" ht="7.5" customHeight="1"/>
    <row r="22" spans="1:4" ht="6" customHeight="1"/>
    <row r="23" spans="1:4">
      <c r="A23" s="390" t="str">
        <f>Criterios!A4</f>
        <v>Fecha Informe: 06 oct. 2026</v>
      </c>
    </row>
    <row r="28" spans="1:4">
      <c r="A28" s="413"/>
    </row>
  </sheetData>
  <sheetProtection algorithmName="SHA-512" hashValue="sbq1A1igDroxBknW5gu8fUKMF/c/bDRKVRBEW7jgsU8jZ0w6MVngvrPQhfaLSMbBorsZlvATyga9skei0JD/9g==" saltValue="wrnjylZXOXCdpZpCE0ITS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BIZKAIA</v>
      </c>
    </row>
    <row r="4" spans="1:11" ht="10.5" customHeight="1" thickBot="1">
      <c r="B4" s="390" t="str">
        <f>Criterios!A11 &amp;"  "&amp;Criterios!B11</f>
        <v>Resumenes por Partidos Judiciales  BALMASEDA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0</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-0.16417910447761194</v>
      </c>
      <c r="C12" s="455">
        <f>IF(ISNUMBER(
   IF(J_V="SI",(Datos!J12-Datos!T12)/Datos!T12,(Datos!J12+Datos!Z12-(Datos!T12+Datos!AH12))/(Datos!T12+Datos!AH12))
     ),IF(J_V="SI",(Datos!J12-Datos!T12)/Datos!T12,(Datos!J12+Datos!Z12-(Datos!T12+Datos!AH12))/(Datos!T12+Datos!AH12))," - ")</f>
        <v>9.2783505154639179E-2</v>
      </c>
      <c r="D12" s="455">
        <f>IF(ISNUMBER(
   IF(J_V="SI",(Datos!K12-Datos!U12)/Datos!U12,(Datos!K12+Datos!AA12-(Datos!U12+Datos!AI12))/(Datos!U12+Datos!AI12))
     ),IF(J_V="SI",(Datos!K12-Datos!U12)/Datos!U12,(Datos!K12+Datos!AA12-(Datos!U12+Datos!AI12))/(Datos!U12+Datos!AI12))," - ")</f>
        <v>-0.18900343642611683</v>
      </c>
      <c r="E12" s="455">
        <f>IF(ISNUMBER(
   IF(J_V="SI",(Datos!L12-Datos!V12)/Datos!V12,(Datos!L12+Datos!AB12-(Datos!V12+Datos!AJ12))/(Datos!V12+Datos!AJ12))
     ),IF(J_V="SI",(Datos!L12-Datos!V12)/Datos!V12,(Datos!L12+Datos!AB12-(Datos!V12+Datos!AJ12))/(Datos!V12+Datos!AJ12))," - ")</f>
        <v>-7.4999999999999997E-2</v>
      </c>
      <c r="F12" s="455">
        <f>IF(ISNUMBER((Datos!M12-Datos!W12)/Datos!W12),(Datos!M12-Datos!W12)/Datos!W12," - ")</f>
        <v>0.19565217391304349</v>
      </c>
      <c r="G12" s="456">
        <f>IF(ISNUMBER((Datos!N12-Datos!X12)/Datos!X12),(Datos!N12-Datos!X12)/Datos!X12," - ")</f>
        <v>-0.29931972789115646</v>
      </c>
      <c r="H12" s="454">
        <f>IF(ISNUMBER(((NºAsuntos!G12/NºAsuntos!E12)-Datos!BD12)/Datos!BD12),((NºAsuntos!G12/NºAsuntos!E12)-Datos!BD12)/Datos!BD12," - ")</f>
        <v>-0.25786163522012578</v>
      </c>
      <c r="I12" s="455">
        <f>IF(ISNUMBER(((NºAsuntos!I12/NºAsuntos!G12)-Datos!BE12)/Datos!BE12),((NºAsuntos!I12/NºAsuntos!G12)-Datos!BE12)/Datos!BE12," - ")</f>
        <v>0.14057203389830497</v>
      </c>
      <c r="J12" s="460">
        <f>IF(ISNUMBER((('Resol  Asuntos'!D12/NºAsuntos!G12)-Datos!BF12)/Datos!BF12),(('Resol  Asuntos'!D12/NºAsuntos!G12)-Datos!BF12)/Datos!BF12," - ")</f>
        <v>-0.538654444828779</v>
      </c>
      <c r="K12" s="461">
        <f>IF(ISNUMBER((((NºAsuntos!C12+NºAsuntos!E12)/NºAsuntos!G12)-Datos!BG12)/Datos!BG12),(((NºAsuntos!C12+NºAsuntos!E12)/NºAsuntos!G12)-Datos!BG12)/Datos!BG12," - ")</f>
        <v>9.6633836406998061E-2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-0.16307277628032346</v>
      </c>
      <c r="C13" s="852">
        <f>IF(ISNUMBER(
   IF(J_V="SI",(Datos!J13-Datos!T13)/Datos!T13,(Datos!J13+Datos!Z13-(Datos!T13+Datos!AH13))/(Datos!T13+Datos!AH13))
     ),IF(J_V="SI",(Datos!J13-Datos!T13)/Datos!T13,(Datos!J13+Datos!Z13-(Datos!T13+Datos!AH13))/(Datos!T13+Datos!AH13))," - ")</f>
        <v>9.7938144329896906E-2</v>
      </c>
      <c r="D13" s="852">
        <f>IF(ISNUMBER(
   IF(J_V="SI",(Datos!K13-Datos!U13)/Datos!U13,(Datos!K13+Datos!AA13-(Datos!U13+Datos!AI13))/(Datos!U13+Datos!AI13))
     ),IF(J_V="SI",(Datos!K13-Datos!U13)/Datos!U13,(Datos!K13+Datos!AA13-(Datos!U13+Datos!AI13))/(Datos!U13+Datos!AI13))," - ")</f>
        <v>-0.18556701030927836</v>
      </c>
      <c r="E13" s="852">
        <f>IF(ISNUMBER(
   IF(J_V="SI",(Datos!L13-Datos!V13)/Datos!V13,(Datos!L13+Datos!AB13-(Datos!V13+Datos!AJ13))/(Datos!V13+Datos!AJ13))
     ),IF(J_V="SI",(Datos!L13-Datos!V13)/Datos!V13,(Datos!L13+Datos!AB13-(Datos!V13+Datos!AJ13))/(Datos!V13+Datos!AJ13))," - ")</f>
        <v>-7.441860465116279E-2</v>
      </c>
      <c r="F13" s="853">
        <f>IF(ISNUMBER((Datos!M13-Datos!W13)/Datos!W13),(Datos!M13-Datos!W13)/Datos!W13," - ")</f>
        <v>0.21739130434782608</v>
      </c>
      <c r="G13" s="854">
        <f>IF(ISNUMBER((Datos!N13-Datos!X13)/Datos!X13),(Datos!N13-Datos!X13)/Datos!X13," - ")</f>
        <v>-0.29931972789115646</v>
      </c>
      <c r="H13" s="854">
        <f>IF(ISNUMBER(((NºAsuntos!G13/NºAsuntos!E13)-Datos!BD13)/Datos!BD13),((NºAsuntos!G13/NºAsuntos!E13)-Datos!BD13)/Datos!BD13," - ")</f>
        <v>-0.25821596244131451</v>
      </c>
      <c r="I13" s="854">
        <f>IF(ISNUMBER(((NºAsuntos!I13/NºAsuntos!G13)-Datos!BE13)/Datos!BE13),((NºAsuntos!I13/NºAsuntos!G13)-Datos!BE13)/Datos!BE13," - ")</f>
        <v>0.13647335884604062</v>
      </c>
      <c r="J13" s="854">
        <f>IF(ISNUMBER((('Resol  Asuntos'!D13/NºAsuntos!G13)-Datos!BF13)/Datos!BF13),(('Resol  Asuntos'!D13/NºAsuntos!G13)-Datos!BF13)/Datos!BF13," - ")</f>
        <v>-0.53224834237492469</v>
      </c>
      <c r="K13" s="854">
        <f>IF(ISNUMBER((((NºAsuntos!C13+NºAsuntos!E13)/NºAsuntos!G13)-Datos!BG13)/Datos!BG13),(((NºAsuntos!C13+NºAsuntos!E13)/NºAsuntos!G13)-Datos!BG13)/Datos!BG13," - ")</f>
        <v>9.4044141512495932E-2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5.2989130434782608E-2</v>
      </c>
      <c r="C17" s="455">
        <f>IF(ISNUMBER(
   IF(D_I="SI",(Datos!J17-Datos!T17)/Datos!T17,(Datos!J17+Datos!AD17-(Datos!T17+Datos!AL17))/(Datos!T17+Datos!AL17))
     ),IF(D_I="SI",(Datos!J17-Datos!T17)/Datos!T17,(Datos!J17+Datos!AD17-(Datos!T17+Datos!AL17))/(Datos!T17+Datos!AL17))," - ")</f>
        <v>0.27631578947368424</v>
      </c>
      <c r="D17" s="455">
        <f>IF(ISNUMBER(
   IF(D_I="SI",(Datos!K17-Datos!U17)/Datos!U17,(Datos!K17+Datos!AE17-(Datos!U17+Datos!AM17))/(Datos!U17+Datos!AM17))
     ),IF(D_I="SI",(Datos!K17-Datos!U17)/Datos!U17,(Datos!K17+Datos!AE17-(Datos!U17+Datos!AM17))/(Datos!U17+Datos!AM17))," - ")</f>
        <v>-0.116751269035533</v>
      </c>
      <c r="E17" s="455">
        <f>IF(ISNUMBER(
   IF(D_I="SI",(Datos!L17-Datos!V17)/Datos!V17,(Datos!L17+Datos!AF17-(Datos!V17+Datos!AN17))/(Datos!V17+Datos!AN17))
     ),IF(D_I="SI",(Datos!L17-Datos!V17)/Datos!V17,(Datos!L17+Datos!AF17-(Datos!V17+Datos!AN17))/(Datos!V17+Datos!AN17))," - ")</f>
        <v>0.15050651230101303</v>
      </c>
      <c r="F17" s="455">
        <f>IF(ISNUMBER((Datos!M17-Datos!W17)/Datos!W17),(Datos!M17-Datos!W17)/Datos!W17," - ")</f>
        <v>-0.40909090909090912</v>
      </c>
      <c r="G17" s="456">
        <f>IF(ISNUMBER((Datos!N17-Datos!X17)/Datos!X17),(Datos!N17-Datos!X17)/Datos!X17," - ")</f>
        <v>0.17777777777777778</v>
      </c>
      <c r="H17" s="454">
        <f>IF(ISNUMBER(((NºAsuntos!G17/NºAsuntos!E17)-Datos!BD17)/Datos!BD17),((NºAsuntos!G17/NºAsuntos!E17)-Datos!BD17)/Datos!BD17," - ")</f>
        <v>-0.30797006646082992</v>
      </c>
      <c r="I17" s="455">
        <f>IF(ISNUMBER(((NºAsuntos!I17/NºAsuntos!G17)-Datos!BE17)/Datos!BE17),((NºAsuntos!I17/NºAsuntos!G17)-Datos!BE17)/Datos!BE17," - ")</f>
        <v>0.30258495932930768</v>
      </c>
      <c r="J17" s="460">
        <f>IF(ISNUMBER((('Resol  Asuntos'!D17/NºAsuntos!G17)-Datos!BF17)/Datos!BF17),(('Resol  Asuntos'!D17/NºAsuntos!G17)-Datos!BF17)/Datos!BF17," - ")</f>
        <v>-0.33098223615464989</v>
      </c>
      <c r="K17" s="461">
        <f>IF(ISNUMBER((((NºAsuntos!C17+NºAsuntos!E17)/NºAsuntos!G17)-Datos!BG17)/Datos!BG17),(((NºAsuntos!C17+NºAsuntos!E17)/NºAsuntos!G17)-Datos!BG17)/Datos!BG17," - ")</f>
        <v>0.2354574401988194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0.13333333333333333</v>
      </c>
      <c r="C18" s="455">
        <f>IF(ISNUMBER(
   IF(D_I="SI",(Datos!J18-Datos!T18)/Datos!T18,(Datos!J18+Datos!AD18-(Datos!T18+Datos!AL18))/(Datos!T18+Datos!AL18))
     ),IF(D_I="SI",(Datos!J18-Datos!T18)/Datos!T18,(Datos!J18+Datos!AD18-(Datos!T18+Datos!AL18))/(Datos!T18+Datos!AL18))," - ")</f>
        <v>2.3636363636363638</v>
      </c>
      <c r="D18" s="455">
        <f>IF(ISNUMBER(
   IF(D_I="SI",(Datos!K18-Datos!U18)/Datos!U18,(Datos!K18+Datos!AE18-(Datos!U18+Datos!AM18))/(Datos!U18+Datos!AM18))
     ),IF(D_I="SI",(Datos!K18-Datos!U18)/Datos!U18,(Datos!K18+Datos!AE18-(Datos!U18+Datos!AM18))/(Datos!U18+Datos!AM18))," - ")</f>
        <v>0.29629629629629628</v>
      </c>
      <c r="E18" s="455">
        <f>IF(ISNUMBER(
   IF(D_I="SI",(Datos!L18-Datos!V18)/Datos!V18,(Datos!L18+Datos!AF18-(Datos!V18+Datos!AN18))/(Datos!V18+Datos!AN18))
     ),IF(D_I="SI",(Datos!L18-Datos!V18)/Datos!V18,(Datos!L18+Datos!AF18-(Datos!V18+Datos!AN18))/(Datos!V18+Datos!AN18))," - ")</f>
        <v>0.63636363636363635</v>
      </c>
      <c r="F18" s="455">
        <f>IF(ISNUMBER((Datos!M18-Datos!W18)/Datos!W18),(Datos!M18-Datos!W18)/Datos!W18," - ")</f>
        <v>-0.2</v>
      </c>
      <c r="G18" s="456">
        <f>IF(ISNUMBER((Datos!N18-Datos!X18)/Datos!X18),(Datos!N18-Datos!X18)/Datos!X18," - ")</f>
        <v>0.75</v>
      </c>
      <c r="H18" s="454">
        <f>IF(ISNUMBER(((NºAsuntos!G18/NºAsuntos!E18)-Datos!BD18)/Datos!BD18),((NºAsuntos!G18/NºAsuntos!E18)-Datos!BD18)/Datos!BD18," - ")</f>
        <v>-0.61461461461461453</v>
      </c>
      <c r="I18" s="455">
        <f>IF(ISNUMBER(((NºAsuntos!I18/NºAsuntos!G18)-Datos!BE18)/Datos!BE18),((NºAsuntos!I18/NºAsuntos!G18)-Datos!BE18)/Datos!BE18," - ")</f>
        <v>0.26233766233766226</v>
      </c>
      <c r="J18" s="460">
        <f>IF(ISNUMBER((('Resol  Asuntos'!D18/NºAsuntos!G18)-Datos!BF18)/Datos!BF18),(('Resol  Asuntos'!D18/NºAsuntos!G18)-Datos!BF18)/Datos!BF18," - ")</f>
        <v>-0.38285714285714284</v>
      </c>
      <c r="K18" s="461">
        <f>IF(ISNUMBER((((NºAsuntos!C18+NºAsuntos!E18)/NºAsuntos!G18)-Datos!BG18)/Datos!BG18),(((NºAsuntos!C18+NºAsuntos!E18)/NºAsuntos!G18)-Datos!BG18)/Datos!BG18," - ")</f>
        <v>0.14084507042253516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5.9045226130653265E-2</v>
      </c>
      <c r="C19" s="852">
        <f>IF(ISNUMBER(
   IF(Criterios!B14="SI",(Datos!J19-Datos!T19)/Datos!T19,(Datos!J19+Datos!AD19-(Datos!T19+Datos!AL19))/(Datos!T19+Datos!AL19))
     ),IF(Criterios!B14="SI",(Datos!J19-Datos!T19)/Datos!T19,(Datos!J19+Datos!AD19-(Datos!T19+Datos!AL19))/(Datos!T19+Datos!AL19))," - ")</f>
        <v>0.41717791411042943</v>
      </c>
      <c r="D19" s="852">
        <f>IF(ISNUMBER(
   IF(Criterios!B14="SI",(Datos!K19-Datos!U19)/Datos!U19,(Datos!K19+Datos!AE19-(Datos!U19+Datos!AM19))/(Datos!U19+Datos!AM19))
     ),IF(Criterios!B14="SI",(Datos!K19-Datos!U19)/Datos!U19,(Datos!K19+Datos!AE19-(Datos!U19+Datos!AM19))/(Datos!U19+Datos!AM19))," - ")</f>
        <v>-6.6964285714285712E-2</v>
      </c>
      <c r="E19" s="852">
        <f>IF(ISNUMBER(
   IF(Criterios!B14="SI",(Datos!L19-Datos!V19)/Datos!V19,(Datos!L19+Datos!AF19-(Datos!V19+Datos!AN19))/(Datos!V19+Datos!AN19))
     ),IF(Criterios!B14="SI",(Datos!L19-Datos!V19)/Datos!V19,(Datos!L19+Datos!AF19-(Datos!V19+Datos!AN19))/(Datos!V19+Datos!AN19))," - ")</f>
        <v>0.17959183673469387</v>
      </c>
      <c r="F19" s="853">
        <f>IF(ISNUMBER((Datos!M19-Datos!W19)/Datos!W19),(Datos!M19-Datos!W19)/Datos!W19," - ")</f>
        <v>-0.38775510204081631</v>
      </c>
      <c r="G19" s="854">
        <f>IF(ISNUMBER((Datos!N19-Datos!X19)/Datos!X19),(Datos!N19-Datos!X19)/Datos!X19," - ")</f>
        <v>0.24509803921568626</v>
      </c>
      <c r="H19" s="854">
        <f>IF(ISNUMBER(((NºAsuntos!G19/NºAsuntos!E19)-Datos!BD19)/Datos!BD19),((NºAsuntos!G19/NºAsuntos!E19)-Datos!BD19)/Datos!BD19," - ")</f>
        <v>-0.34162414965986398</v>
      </c>
      <c r="I19" s="854">
        <f>IF(ISNUMBER(((NºAsuntos!I19/NºAsuntos!G19)-Datos!BE19)/Datos!BE19),((NºAsuntos!I19/NºAsuntos!G19)-Datos!BE19)/Datos!BE19," - ")</f>
        <v>0.2642515379357484</v>
      </c>
      <c r="J19" s="854">
        <f>IF(ISNUMBER((('Resol  Asuntos'!D19/NºAsuntos!G19)-Datos!BF19)/Datos!BF19),(('Resol  Asuntos'!D19/NºAsuntos!G19)-Datos!BF19)/Datos!BF19," - ")</f>
        <v>-0.34381408065618591</v>
      </c>
      <c r="K19" s="854">
        <f>IF(ISNUMBER((((NºAsuntos!C19+NºAsuntos!E19)/NºAsuntos!G19)-Datos!BG19)/Datos!BG19),(((NºAsuntos!C19+NºAsuntos!E19)/NºAsuntos!G19)-Datos!BG19)/Datos!BG19," - ")</f>
        <v>0.20029336779240745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-4.8114434330299091E-2</v>
      </c>
      <c r="C20" s="799">
        <f>IF(ISNUMBER(
   IF(J_V="SI",(Datos!J20-Datos!T20)/Datos!T20,(Datos!J20+Datos!Z20-(Datos!T20+Datos!AH20))/(Datos!T20+Datos!AH20))
     ),IF(J_V="SI",(Datos!J20-Datos!T20)/Datos!T20,(Datos!J20+Datos!Z20-(Datos!T20+Datos!AH20))/(Datos!T20+Datos!AH20))," - ")</f>
        <v>0.24369747899159663</v>
      </c>
      <c r="D20" s="799">
        <f>IF(ISNUMBER(
   IF(J_V="SI",(Datos!K20-Datos!U20)/Datos!U20,(Datos!K20+Datos!AA20-(Datos!U20+Datos!AI20))/(Datos!U20+Datos!AI20))
     ),IF(J_V="SI",(Datos!K20-Datos!U20)/Datos!U20,(Datos!K20+Datos!AA20-(Datos!U20+Datos!AI20))/(Datos!U20+Datos!AI20))," - ")</f>
        <v>-0.13398058252427184</v>
      </c>
      <c r="E20" s="799">
        <f>IF(ISNUMBER(
   IF(J_V="SI",(Datos!L20-Datos!V20)/Datos!V20,(Datos!L20+Datos!AB20-(Datos!V20+Datos!AJ20))/(Datos!V20+Datos!AJ20))
     ),IF(J_V="SI",(Datos!L20-Datos!V20)/Datos!V20,(Datos!L20+Datos!AB20-(Datos!V20+Datos!AJ20))/(Datos!V20+Datos!AJ20))," - ")</f>
        <v>6.0869565217391307E-2</v>
      </c>
      <c r="F20" s="800">
        <f>IF(ISNUMBER((Datos!M20-Datos!W20)/Datos!W20),(Datos!M20-Datos!W20)/Datos!W20," - ")</f>
        <v>-9.4736842105263161E-2</v>
      </c>
      <c r="G20" s="801">
        <f>IF(ISNUMBER((Datos!N20-Datos!X20)/Datos!X20),(Datos!N20-Datos!X20)/Datos!X20," - ")</f>
        <v>-7.6305220883534142E-2</v>
      </c>
      <c r="H20" s="802">
        <f>IF(ISNUMBER((Tasas!B20-Datos!BD20)/Datos!BD20),(Tasas!B20-Datos!BD20)/Datos!BD20," - ")</f>
        <v>-0.30367357648911047</v>
      </c>
      <c r="I20" s="803">
        <f>IF(ISNUMBER((Tasas!C20-Datos!BE20)/Datos!BE20),(Tasas!C20-Datos!BE20)/Datos!BE20," - ")</f>
        <v>0.2249951257555079</v>
      </c>
      <c r="J20" s="804">
        <f>IF(ISNUMBER((Tasas!D20-Datos!BF20)/Datos!BF20),(Tasas!D20-Datos!BF20)/Datos!BF20," - ")</f>
        <v>-0.49334217992129581</v>
      </c>
      <c r="K20" s="804">
        <f>IF(ISNUMBER((Tasas!E20-Datos!BG20)/Datos!BG20),(Tasas!E20-Datos!BG20)/Datos!BG20," - ")</f>
        <v>0.16263000343126241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5IyiLrt7qbOY53yedz+oeJmzXi1vnFbnexEqZw7xScRWRz5ZI1ANBFTXLwGuImWBXXPkYqO83FRx4g0WSQ5MQ==" saltValue="WJO2zpGU1bKLa5moPa4qs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BIZKAIA</v>
      </c>
    </row>
    <row r="4" spans="1:7" ht="11.25" customHeight="1" thickBot="1">
      <c r="B4" s="390" t="str">
        <f>Criterios!A11 &amp;"  "&amp;Criterios!B11</f>
        <v>Resumenes por Partidos Judiciales  BALMASEDA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5</v>
      </c>
      <c r="D10" s="443">
        <f>IF(ISNUMBER('Resol  Asuntos'!D10/NºAsuntos!G10),'Resol  Asuntos'!D10/NºAsuntos!G10," - ")</f>
        <v>1</v>
      </c>
      <c r="E10" s="444">
        <f>IF(ISNUMBER((NºAsuntos!C10+NºAsuntos!E10)/NºAsuntos!G10),(NºAsuntos!C10+NºAsuntos!E10)/NºAsuntos!G10," - ")</f>
        <v>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1.1132075471698113</v>
      </c>
      <c r="C12" s="442">
        <f>IF(ISNUMBER(NºAsuntos!I12/NºAsuntos!G12),NºAsuntos!I12/NºAsuntos!G12," - ")</f>
        <v>2.5084745762711864</v>
      </c>
      <c r="D12" s="443">
        <f>IF(ISNUMBER('Resol  Asuntos'!D12/NºAsuntos!G12),'Resol  Asuntos'!D12/NºAsuntos!G12," - ")</f>
        <v>0.23305084745762711</v>
      </c>
      <c r="E12" s="444">
        <f>IF(ISNUMBER((NºAsuntos!C12+NºAsuntos!E12)/NºAsuntos!G12),(NºAsuntos!C12+NºAsuntos!E12)/NºAsuntos!G12," - ")</f>
        <v>3.5084745762711864</v>
      </c>
      <c r="G12" s="462"/>
    </row>
    <row r="13" spans="1:7" ht="14.25" thickTop="1" thickBot="1">
      <c r="A13" s="845" t="str">
        <f>Datos!A13</f>
        <v>TOTAL</v>
      </c>
      <c r="B13" s="855">
        <f>IF(ISNUMBER(NºAsuntos!G13/NºAsuntos!E13),NºAsuntos!G13/NºAsuntos!E13," - ")</f>
        <v>1.1126760563380282</v>
      </c>
      <c r="C13" s="856">
        <f>IF(ISNUMBER(NºAsuntos!I13/NºAsuntos!G13),NºAsuntos!I13/NºAsuntos!G13," - ")</f>
        <v>2.518987341772152</v>
      </c>
      <c r="D13" s="857">
        <f>IF(ISNUMBER('Resol  Asuntos'!D13/NºAsuntos!G13),'Resol  Asuntos'!D13/NºAsuntos!G13," - ")</f>
        <v>0.23628691983122363</v>
      </c>
      <c r="E13" s="858">
        <f>IF(ISNUMBER((NºAsuntos!C13+NºAsuntos!E13)/NºAsuntos!G13),(NºAsuntos!C13+NºAsuntos!E13)/NºAsuntos!G13," - ")</f>
        <v>3.518987341772152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0.89690721649484539</v>
      </c>
      <c r="C17" s="442">
        <f>IF(ISNUMBER(NºAsuntos!I17/NºAsuntos!G17),NºAsuntos!I17/NºAsuntos!G17," - ")</f>
        <v>4.568965517241379</v>
      </c>
      <c r="D17" s="443">
        <f>IF(ISNUMBER('Resol  Asuntos'!D17/NºAsuntos!G17),'Resol  Asuntos'!D17/NºAsuntos!G17," - ")</f>
        <v>0.14942528735632185</v>
      </c>
      <c r="E17" s="444">
        <f>IF(ISNUMBER((NºAsuntos!C17+NºAsuntos!E17)/NºAsuntos!G17),(NºAsuntos!C17+NºAsuntos!E17)/NºAsuntos!G17," - ")</f>
        <v>5.568965517241379</v>
      </c>
      <c r="G17" s="462"/>
    </row>
    <row r="18" spans="1:7" ht="21.75" thickBot="1">
      <c r="A18" s="401" t="str">
        <f>Datos!A18</f>
        <v>Sección De Violencia sobre la Mujer del TI</v>
      </c>
      <c r="B18" s="441">
        <f>IF(ISNUMBER(NºAsuntos!G18/NºAsuntos!E18),NºAsuntos!G18/NºAsuntos!E18," - ")</f>
        <v>0.94594594594594594</v>
      </c>
      <c r="C18" s="442">
        <f>IF(ISNUMBER(NºAsuntos!I18/NºAsuntos!G18),NºAsuntos!I18/NºAsuntos!G18," - ")</f>
        <v>2.0571428571428569</v>
      </c>
      <c r="D18" s="443">
        <f>IF(ISNUMBER('Resol  Asuntos'!D18/NºAsuntos!G18),'Resol  Asuntos'!D18/NºAsuntos!G18," - ")</f>
        <v>0.11428571428571428</v>
      </c>
      <c r="E18" s="444">
        <f>IF(ISNUMBER((NºAsuntos!C18+NºAsuntos!E18)/NºAsuntos!G18),(NºAsuntos!C18+NºAsuntos!E18)/NºAsuntos!G18," - ")</f>
        <v>3</v>
      </c>
      <c r="G18" s="462"/>
    </row>
    <row r="19" spans="1:7" ht="14.25" thickTop="1" thickBot="1">
      <c r="A19" s="845" t="str">
        <f>Datos!A19</f>
        <v>TOTAL</v>
      </c>
      <c r="B19" s="855">
        <f>IF(ISNUMBER(NºAsuntos!G19/NºAsuntos!E19),NºAsuntos!G19/NºAsuntos!E19," - ")</f>
        <v>0.90476190476190477</v>
      </c>
      <c r="C19" s="856">
        <f>IF(ISNUMBER(NºAsuntos!I19/NºAsuntos!G19),NºAsuntos!I19/NºAsuntos!G19," - ")</f>
        <v>4.1483253588516744</v>
      </c>
      <c r="D19" s="859">
        <f>IF(ISNUMBER('Resol  Asuntos'!D19/NºAsuntos!G19),'Resol  Asuntos'!D19/NºAsuntos!G19," - ")</f>
        <v>0.14354066985645933</v>
      </c>
      <c r="E19" s="858">
        <f>IF(ISNUMBER((NºAsuntos!C19+NºAsuntos!E19)/NºAsuntos!G19),(NºAsuntos!C19+NºAsuntos!E19)/NºAsuntos!G19," - ")</f>
        <v>5.1387559808612444</v>
      </c>
      <c r="G19" s="462"/>
    </row>
    <row r="20" spans="1:7" ht="15.75" customHeight="1" thickTop="1" thickBot="1">
      <c r="A20" s="790" t="str">
        <f>Datos!A20</f>
        <v>TOTAL JURISDICCIONES</v>
      </c>
      <c r="B20" s="805">
        <f>IF(ISNUMBER(NºAsuntos!G20/NºAsuntos!E20),NºAsuntos!G20/NºAsuntos!E20," - ")</f>
        <v>1.0045045045045045</v>
      </c>
      <c r="C20" s="806">
        <f>IF(ISNUMBER(NºAsuntos!I20/NºAsuntos!G20),NºAsuntos!I20/NºAsuntos!G20," - ")</f>
        <v>3.282511210762332</v>
      </c>
      <c r="D20" s="807">
        <f>IF(ISNUMBER('Resol  Asuntos'!D20/NºAsuntos!G20),'Resol  Asuntos'!D20/NºAsuntos!G20," - ")</f>
        <v>0.19282511210762332</v>
      </c>
      <c r="E20" s="808">
        <f>IF(ISNUMBER((NºAsuntos!C20+NºAsuntos!E20)/NºAsuntos!G20),(NºAsuntos!C20+NºAsuntos!E20)/NºAsuntos!G20," - ")</f>
        <v>4.2780269058295968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pDAM7p7WIP5oggQe++/9q+ez6JXoen2dloF6Z6m2NhidENCEyYFDtxVS4L8bulsZdi0NEE7T/E9Vpz39NYzLA==" saltValue="JAE7mRaEFBDssSFrpWCYf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BIZKAIA</v>
      </c>
      <c r="N2" s="261" t="str">
        <f>Criterios!A11 &amp;"  "&amp;Criterios!B11</f>
        <v>Resumenes por Partidos Judiciales  BALMASEDA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v>
      </c>
      <c r="G10" s="332">
        <f>IF(ISNUMBER(Datos!I10),Datos!I10," - ")</f>
        <v>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5</v>
      </c>
      <c r="AB10" s="333">
        <f>IF(ISNUMBER(Datos!R10),Datos!R10," - ")</f>
        <v>4</v>
      </c>
      <c r="AC10" s="333">
        <f t="shared" ref="AC10:AC12" si="1">IF(ISNUMBER(AA10+AB10),AA10+AB10," - ")</f>
        <v>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15</v>
      </c>
      <c r="AN10" s="243">
        <f>IF(ISNUMBER('Resol  Asuntos'!D10/NºAsuntos!G10),'Resol  Asuntos'!D10/NºAsuntos!G10," - ")</f>
        <v>1</v>
      </c>
      <c r="AO10" s="244">
        <f>IF(ISNUMBER((NºAsuntos!C10+NºAsuntos!E10)/NºAsuntos!G10),(NºAsuntos!C10+NºAsuntos!E10)/NºAsuntos!G10," - ")</f>
        <v>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33</v>
      </c>
      <c r="Y12" s="333">
        <f t="shared" si="0"/>
        <v>33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675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55</v>
      </c>
      <c r="AJ12" s="228" t="str">
        <f>IF(ISNUMBER(Datos!BW12),Datos!BW12," - ")</f>
        <v xml:space="preserve"> - </v>
      </c>
      <c r="AK12" s="227" t="str">
        <f>IF(ISNUMBER(Datos!BX12),Datos!BX12," - ")</f>
        <v xml:space="preserve"> - </v>
      </c>
      <c r="AL12" s="242">
        <f>IF(ISNUMBER(NºAsuntos!G12/NºAsuntos!E12),NºAsuntos!G12/NºAsuntos!E12," - ")</f>
        <v>1.1132075471698113</v>
      </c>
      <c r="AM12" s="259">
        <f>IF(ISNUMBER(((NºAsuntos!I12/NºAsuntos!G12)*11)/factor_trimestre),((NºAsuntos!I12/NºAsuntos!G12)*11)/factor_trimestre," - ")</f>
        <v>7.5254237288135597</v>
      </c>
      <c r="AN12" s="243">
        <f>IF(ISNUMBER('Resol  Asuntos'!D12/NºAsuntos!G12),'Resol  Asuntos'!D12/NºAsuntos!G12," - ")</f>
        <v>0.23305084745762711</v>
      </c>
      <c r="AO12" s="244">
        <f>IF(ISNUMBER((NºAsuntos!C12+NºAsuntos!E12)/NºAsuntos!G12),(NºAsuntos!C12+NºAsuntos!E12)/NºAsuntos!G12," - ")</f>
        <v>3.5084745762711864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5</v>
      </c>
      <c r="G13" s="863">
        <f t="shared" si="3"/>
        <v>5</v>
      </c>
      <c r="H13" s="862">
        <f t="shared" si="3"/>
        <v>0</v>
      </c>
      <c r="I13" s="864">
        <f t="shared" si="3"/>
        <v>0</v>
      </c>
      <c r="J13" s="864">
        <f t="shared" si="3"/>
        <v>0</v>
      </c>
      <c r="K13" s="864">
        <f t="shared" si="3"/>
        <v>0</v>
      </c>
      <c r="L13" s="864">
        <f t="shared" si="3"/>
        <v>52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33</v>
      </c>
      <c r="Y13" s="865">
        <f t="shared" si="4"/>
        <v>34</v>
      </c>
      <c r="Z13" s="865">
        <f t="shared" si="4"/>
        <v>0</v>
      </c>
      <c r="AA13" s="865">
        <f t="shared" si="4"/>
        <v>5</v>
      </c>
      <c r="AB13" s="865">
        <f t="shared" si="4"/>
        <v>679</v>
      </c>
      <c r="AC13" s="865">
        <f t="shared" si="4"/>
        <v>9</v>
      </c>
      <c r="AD13" s="865">
        <f t="shared" si="4"/>
        <v>0</v>
      </c>
      <c r="AE13" s="869">
        <f t="shared" si="4"/>
        <v>0</v>
      </c>
      <c r="AF13" s="862">
        <f t="shared" si="4"/>
        <v>0</v>
      </c>
      <c r="AG13" s="870">
        <f t="shared" si="4"/>
        <v>0</v>
      </c>
      <c r="AH13" s="867">
        <f t="shared" si="4"/>
        <v>0</v>
      </c>
      <c r="AI13" s="862">
        <f t="shared" si="4"/>
        <v>56</v>
      </c>
      <c r="AJ13" s="864">
        <f t="shared" si="4"/>
        <v>0</v>
      </c>
      <c r="AK13" s="867">
        <f>SUBTOTAL(9,AK9:AK12)</f>
        <v>0</v>
      </c>
      <c r="AL13" s="871">
        <f>IF(ISNUMBER(NºAsuntos!G13/NºAsuntos!E13),NºAsuntos!G13/NºAsuntos!E13," - ")</f>
        <v>1.1126760563380282</v>
      </c>
      <c r="AM13" s="871">
        <f>IF(ISNUMBER(((NºAsuntos!I13/NºAsuntos!G13)*11)/factor_trimestre),((NºAsuntos!I13/NºAsuntos!G13)*11)/factor_trimestre," - ")</f>
        <v>7.556962025316456</v>
      </c>
      <c r="AN13" s="872">
        <f>IF(ISNUMBER('Resol  Asuntos'!D13/NºAsuntos!G13),'Resol  Asuntos'!D13/NºAsuntos!G13," - ")</f>
        <v>0.23628691983122363</v>
      </c>
      <c r="AO13" s="873">
        <f>IF(ISNUMBER((NºAsuntos!C13+NºAsuntos!E13)/NºAsuntos!G13),(NºAsuntos!C13+NºAsuntos!E13)/NºAsuntos!G13," - ")</f>
        <v>3.518987341772152</v>
      </c>
      <c r="AP13" s="874" t="str">
        <f t="shared" si="2"/>
        <v xml:space="preserve"> - </v>
      </c>
      <c r="AQ13" s="874">
        <f>IF(ISNUMBER((H13-W13+K13)/(F13)),(H13-W13+K13)/(F13)," - ")</f>
        <v>-0.2</v>
      </c>
      <c r="AR13" s="875">
        <f>IF(ISNUMBER((Datos!P13-Datos!Q13)/(Datos!R13-Datos!P13+Datos!Q13)),(Datos!P13-Datos!Q13)/(Datos!R13-Datos!P13+Datos!Q13)," - ")</f>
        <v>2.8787878787878789E-2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775</v>
      </c>
      <c r="G17" s="332">
        <f>IF(ISNUMBER(IF(D_I="SI",Datos!I17,Datos!I17+Datos!AC17)),IF(D_I="SI",Datos!I17,Datos!I17+Datos!AC17)," - ")</f>
        <v>775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174</v>
      </c>
      <c r="X17" s="225">
        <f>IF(ISNUMBER(Datos!Q17),Datos!Q17," - ")</f>
        <v>3</v>
      </c>
      <c r="Y17" s="333">
        <f t="shared" ref="Y17:Y18" si="9">SUM(W17:X17)</f>
        <v>177</v>
      </c>
      <c r="Z17" s="334" t="str">
        <f>IF(ISNUMBER(Datos!CC17),Datos!CC17," - ")</f>
        <v xml:space="preserve"> - </v>
      </c>
      <c r="AA17" s="331">
        <f>IF(ISNUMBER(IF(D_I="SI",Datos!L17,Datos!L17+Datos!AF17)),IF(D_I="SI",Datos!L17,Datos!L17+Datos!AF17)," - ")</f>
        <v>795</v>
      </c>
      <c r="AB17" s="333">
        <f>IF(ISNUMBER(Datos!R17),Datos!R17," - ")</f>
        <v>66</v>
      </c>
      <c r="AC17" s="333">
        <f t="shared" si="6"/>
        <v>861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26</v>
      </c>
      <c r="AJ17" s="230" t="str">
        <f>IF(ISNUMBER(Datos!BW17),Datos!BW17," - ")</f>
        <v xml:space="preserve"> - </v>
      </c>
      <c r="AK17" s="231" t="str">
        <f>IF(ISNUMBER(Datos!BX17),Datos!BX17," - ")</f>
        <v xml:space="preserve"> - </v>
      </c>
      <c r="AL17" s="242">
        <f>IF(ISNUMBER(NºAsuntos!G17/NºAsuntos!E17),NºAsuntos!G17/NºAsuntos!E17," - ")</f>
        <v>0.89690721649484539</v>
      </c>
      <c r="AM17" s="259">
        <f>IF(ISNUMBER(((NºAsuntos!I17/NºAsuntos!G17)*11)/factor_trimestre),((NºAsuntos!I17/NºAsuntos!G17)*11)/factor_trimestre," - ")</f>
        <v>13.706896551724137</v>
      </c>
      <c r="AN17" s="243">
        <f>IF(ISNUMBER('Resol  Asuntos'!D17/NºAsuntos!G17),'Resol  Asuntos'!D17/NºAsuntos!G17," - ")</f>
        <v>0.14942528735632185</v>
      </c>
      <c r="AO17" s="244">
        <f>IF(ISNUMBER((NºAsuntos!C17+NºAsuntos!E17)/NºAsuntos!G17),(NºAsuntos!C17+NºAsuntos!E17)/NºAsuntos!G17," - ")</f>
        <v>5.568965517241379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35</v>
      </c>
      <c r="X18" s="225">
        <f>IF(ISNUMBER(Datos!Q18),Datos!Q18," - ")</f>
        <v>0</v>
      </c>
      <c r="Y18" s="333">
        <f t="shared" si="9"/>
        <v>35</v>
      </c>
      <c r="Z18" s="334" t="str">
        <f>IF(ISNUMBER(Datos!CC18),Datos!CC18," - ")</f>
        <v xml:space="preserve"> - </v>
      </c>
      <c r="AA18" s="331">
        <f>IF(ISNUMBER(Datos!L18),Datos!L18,"-")</f>
        <v>72</v>
      </c>
      <c r="AB18" s="333">
        <f>IF(ISNUMBER(Datos!R18),Datos!R18," - ")</f>
        <v>0</v>
      </c>
      <c r="AC18" s="333">
        <f t="shared" si="6"/>
        <v>72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0.94594594594594594</v>
      </c>
      <c r="AM18" s="259">
        <f>IF(ISNUMBER(((NºAsuntos!I18/NºAsuntos!G18)*11)/factor_trimestre),((NºAsuntos!I18/NºAsuntos!G18)*11)/factor_trimestre," - ")</f>
        <v>6.1714285714285708</v>
      </c>
      <c r="AN18" s="243">
        <f>IF(ISNUMBER('Resol  Asuntos'!D18/NºAsuntos!G18),'Resol  Asuntos'!D18/NºAsuntos!G18," - ")</f>
        <v>0.11428571428571428</v>
      </c>
      <c r="AO18" s="244">
        <f>IF(ISNUMBER((NºAsuntos!C18+NºAsuntos!E18)/NºAsuntos!G18),(NºAsuntos!C18+NºAsuntos!E18)/NºAsuntos!G18," - ")</f>
        <v>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775</v>
      </c>
      <c r="G19" s="863">
        <f>SUBTOTAL(9,G15:G18)</f>
        <v>843</v>
      </c>
      <c r="H19" s="862">
        <f t="shared" ref="H19:O19" si="12">SUBTOTAL(9,H14:H18)</f>
        <v>0</v>
      </c>
      <c r="I19" s="864">
        <f t="shared" si="12"/>
        <v>0</v>
      </c>
      <c r="J19" s="864">
        <f t="shared" si="12"/>
        <v>0</v>
      </c>
      <c r="K19" s="864">
        <f t="shared" si="12"/>
        <v>0</v>
      </c>
      <c r="L19" s="864">
        <f t="shared" si="12"/>
        <v>12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209</v>
      </c>
      <c r="X19" s="864">
        <f t="shared" si="13"/>
        <v>3</v>
      </c>
      <c r="Y19" s="865">
        <f t="shared" si="13"/>
        <v>212</v>
      </c>
      <c r="Z19" s="865">
        <f t="shared" si="13"/>
        <v>0</v>
      </c>
      <c r="AA19" s="865">
        <f t="shared" si="13"/>
        <v>867</v>
      </c>
      <c r="AB19" s="865">
        <f t="shared" si="13"/>
        <v>66</v>
      </c>
      <c r="AC19" s="865">
        <f t="shared" si="13"/>
        <v>933</v>
      </c>
      <c r="AD19" s="865">
        <f t="shared" si="13"/>
        <v>0</v>
      </c>
      <c r="AE19" s="869">
        <f t="shared" si="13"/>
        <v>0</v>
      </c>
      <c r="AF19" s="862">
        <f t="shared" si="13"/>
        <v>0</v>
      </c>
      <c r="AG19" s="870">
        <f t="shared" si="13"/>
        <v>0</v>
      </c>
      <c r="AH19" s="867">
        <f t="shared" si="13"/>
        <v>0</v>
      </c>
      <c r="AI19" s="862">
        <f t="shared" si="13"/>
        <v>30</v>
      </c>
      <c r="AJ19" s="864">
        <f t="shared" si="13"/>
        <v>0</v>
      </c>
      <c r="AK19" s="867">
        <f t="shared" si="13"/>
        <v>0</v>
      </c>
      <c r="AL19" s="871">
        <f>IF(ISNUMBER(NºAsuntos!G19/NºAsuntos!E19),NºAsuntos!G19/NºAsuntos!E19," - ")</f>
        <v>0.90476190476190477</v>
      </c>
      <c r="AM19" s="871">
        <f>IF(ISNUMBER(((NºAsuntos!I19/NºAsuntos!G19)*11)/factor_trimestre),((NºAsuntos!I19/NºAsuntos!G19)*11)/factor_trimestre," - ")</f>
        <v>12.444976076555024</v>
      </c>
      <c r="AN19" s="872">
        <f>IF(ISNUMBER('Resol  Asuntos'!D19/NºAsuntos!G19),'Resol  Asuntos'!D19/NºAsuntos!G19," - ")</f>
        <v>0.14354066985645933</v>
      </c>
      <c r="AO19" s="873">
        <f>IF(ISNUMBER((NºAsuntos!C19+NºAsuntos!E19)/NºAsuntos!G19),(NºAsuntos!C19+NºAsuntos!E19)/NºAsuntos!G19," - ")</f>
        <v>5.1387559808612444</v>
      </c>
      <c r="AP19" s="874" t="str">
        <f t="shared" si="2"/>
        <v xml:space="preserve"> - </v>
      </c>
      <c r="AQ19" s="874">
        <f>IF(ISNUMBER((H19-W19+K19)/(F19)),(H19-W19+K19)/(F19)," - ")</f>
        <v>-0.26967741935483869</v>
      </c>
      <c r="AR19" s="875">
        <f>IF(ISNUMBER((Datos!P19-Datos!Q19)/(Datos!R19-Datos!P19+Datos!Q19)),(Datos!P19-Datos!Q19)/(Datos!R19-Datos!P19+Datos!Q19)," - ")</f>
        <v>0.15789473684210525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780</v>
      </c>
      <c r="G20" s="818">
        <f t="shared" si="15"/>
        <v>848</v>
      </c>
      <c r="H20" s="817">
        <f t="shared" si="15"/>
        <v>0</v>
      </c>
      <c r="I20" s="819">
        <f t="shared" si="15"/>
        <v>0</v>
      </c>
      <c r="J20" s="819">
        <f t="shared" si="15"/>
        <v>0</v>
      </c>
      <c r="K20" s="878">
        <f t="shared" si="15"/>
        <v>0</v>
      </c>
      <c r="L20" s="819">
        <f t="shared" si="15"/>
        <v>64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210</v>
      </c>
      <c r="X20" s="818">
        <f t="shared" si="16"/>
        <v>36</v>
      </c>
      <c r="Y20" s="825">
        <f t="shared" si="16"/>
        <v>246</v>
      </c>
      <c r="Z20" s="825">
        <f t="shared" si="16"/>
        <v>0</v>
      </c>
      <c r="AA20" s="825">
        <f t="shared" si="16"/>
        <v>872</v>
      </c>
      <c r="AB20" s="825">
        <f t="shared" si="16"/>
        <v>745</v>
      </c>
      <c r="AC20" s="825">
        <f t="shared" si="16"/>
        <v>942</v>
      </c>
      <c r="AD20" s="825">
        <f t="shared" si="16"/>
        <v>0</v>
      </c>
      <c r="AE20" s="827">
        <f t="shared" si="16"/>
        <v>0</v>
      </c>
      <c r="AF20" s="828">
        <f t="shared" si="16"/>
        <v>0</v>
      </c>
      <c r="AG20" s="829">
        <f t="shared" si="16"/>
        <v>0</v>
      </c>
      <c r="AH20" s="827">
        <f t="shared" si="16"/>
        <v>0</v>
      </c>
      <c r="AI20" s="817">
        <f t="shared" si="16"/>
        <v>86</v>
      </c>
      <c r="AJ20" s="817">
        <f t="shared" si="16"/>
        <v>0</v>
      </c>
      <c r="AK20" s="827">
        <f t="shared" si="16"/>
        <v>0</v>
      </c>
      <c r="AL20" s="881">
        <f>IF(ISNUMBER(NºAsuntos!G20/NºAsuntos!E20),NºAsuntos!G20/NºAsuntos!E20," - ")</f>
        <v>1.0045045045045045</v>
      </c>
      <c r="AM20" s="882">
        <f>IF(ISNUMBER(((NºAsuntos!I20/NºAsuntos!G20)*11)/factor_trimestre),((NºAsuntos!I20/NºAsuntos!G20)*11)/factor_trimestre," - ")</f>
        <v>9.8475336322869946</v>
      </c>
      <c r="AN20" s="882">
        <f>IF(ISNUMBER('Resol  Asuntos'!D20/NºAsuntos!G20),'Resol  Asuntos'!D20/NºAsuntos!G20," - ")</f>
        <v>0.19282511210762332</v>
      </c>
      <c r="AO20" s="883">
        <f>IF(ISNUMBER((NºAsuntos!C20+NºAsuntos!E20)/NºAsuntos!G20),(NºAsuntos!C20+NºAsuntos!E20)/NºAsuntos!G20," - ")</f>
        <v>4.2780269058295968</v>
      </c>
      <c r="AP20" s="884" t="str">
        <f t="shared" si="2"/>
        <v xml:space="preserve"> - </v>
      </c>
      <c r="AQ20" s="885">
        <f>IF(OR(ISNUMBER(FIND("01",Criterios!A8,1)),ISNUMBER(FIND("02",Criterios!A8,1)),ISNUMBER(FIND("03",Criterios!A8,1)),ISNUMBER(FIND("04",Criterios!A8,1))),(I20-W20+K20)/(F20-K20),(H20-W20+K20)/(F20-K20))</f>
        <v>-0.26923076923076922</v>
      </c>
      <c r="AR20" s="886">
        <f>IF(ISNUMBER((Datos!P20-Datos!Q20)/(Datos!R20-Datos!P20+Datos!Q20)),(Datos!P20-Datos!Q20)/(Datos!R20-Datos!P20+Datos!Q20)," - ")</f>
        <v>3.9051603905160388E-2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339.2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444.55970727601186</v>
      </c>
      <c r="G22" s="252">
        <f>IF(ISNUMBER(STDEV(G8:G19)),STDEV(G8:G19),"-")</f>
        <v>430.30942355472536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99.879927913470183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23.762715894162152</v>
      </c>
      <c r="AJ22" s="251">
        <f t="shared" si="20"/>
        <v>0</v>
      </c>
      <c r="AK22" s="253">
        <f t="shared" si="20"/>
        <v>0</v>
      </c>
      <c r="AL22" s="248">
        <f t="shared" si="20"/>
        <v>9.7994945333090763E-2</v>
      </c>
      <c r="AM22" s="249">
        <f t="shared" si="20"/>
        <v>3.7551126896043554</v>
      </c>
      <c r="AN22" s="249">
        <f t="shared" si="20"/>
        <v>0.34035450653208649</v>
      </c>
      <c r="AO22" s="250">
        <f t="shared" si="20"/>
        <v>1.2636864335053204</v>
      </c>
      <c r="AP22" s="290" t="str">
        <f t="shared" si="20"/>
        <v>-</v>
      </c>
      <c r="AQ22" s="291">
        <f t="shared" si="20"/>
        <v>4.9269375721385317E-2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20IMXm6t6FDy4LjAnzpvPS7kmMU8hk/UsCuEWnYwiHv2ThS4cycfIaQlou2guLarWF5oufs1bc2V6vbjdXYSA==" saltValue="AimKw4Ep7Mv2PQHAU2FvF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BIZKAIA</v>
      </c>
      <c r="E3" s="262"/>
    </row>
    <row r="4" spans="2:20" ht="17.25" customHeight="1" thickBot="1">
      <c r="D4" s="261" t="str">
        <f>Criterios!A11 &amp;"  "&amp;Criterios!B11</f>
        <v>Resumenes por Partidos Judiciales  BALMASEDA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0.19565217391304349</v>
      </c>
      <c r="I12" s="349">
        <f>IF(ISNUMBER((Tasas!C12-Datos!BE12)/Datos!BE12),(Tasas!C12-Datos!BE12)/Datos!BE12," - ")</f>
        <v>0.14057203389830497</v>
      </c>
      <c r="J12" s="348">
        <f>IF(ISNUMBER((Tasas!D12-Datos!BF12)/Datos!BF12),(Tasas!D12-Datos!BF12)/Datos!BF12," - ")</f>
        <v>-0.538654444828779</v>
      </c>
      <c r="K12" s="350">
        <f>IF(ISNUMBER((Tasas!E12-Datos!BG12)/Datos!BG12),(Tasas!E12-Datos!BG12)/Datos!BG12," - ")</f>
        <v>9.6633836406998061E-2</v>
      </c>
      <c r="M12" t="e">
        <f>IF(Monitorios="SI",Datos!CE12,0)</f>
        <v>#REF!</v>
      </c>
      <c r="N12" t="e">
        <f>IF(Monitorios="SI",Datos!CF12,0)</f>
        <v>#REF!</v>
      </c>
      <c r="O12" t="e">
        <f>IF(Monitorios="SI",Datos!CG12,0)</f>
        <v>#REF!</v>
      </c>
      <c r="P12" t="e">
        <f>IF(Monitorios="SI",Datos!CH12,0)</f>
        <v>#REF!</v>
      </c>
      <c r="Q12">
        <f>IF(J_V="SI",0,Datos!AG12)</f>
        <v>24</v>
      </c>
      <c r="R12">
        <f>IF(J_V="SI",0,Datos!AH12)</f>
        <v>57</v>
      </c>
      <c r="S12">
        <f>IF(J_V="SI",0,Datos!AI12)</f>
        <v>65</v>
      </c>
      <c r="T12">
        <f>IF(J_V="SI",0,Datos!AJ12)</f>
        <v>16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0.21739130434782608</v>
      </c>
      <c r="I13" s="356">
        <f>IF(ISNUMBER((Tasas!C13-Datos!BE13)/Datos!BE13),(Tasas!C13-Datos!BE13)/Datos!BE13," - ")</f>
        <v>0.13647335884604062</v>
      </c>
      <c r="J13" s="354">
        <f>IF(ISNUMBER((Tasas!D13-Datos!BF13)/Datos!BF13),(Tasas!D13-Datos!BF13)/Datos!BF13," - ")</f>
        <v>-0.53224834237492469</v>
      </c>
      <c r="K13" s="357">
        <f>IF(ISNUMBER((Tasas!E13-Datos!BG13)/Datos!BG13),(Tasas!E13-Datos!BG13)/Datos!BG13," - ")</f>
        <v>9.4044141512495932E-2</v>
      </c>
      <c r="M13" t="e">
        <f>IF(Monitorios="SI",Datos!CE13,0)</f>
        <v>#REF!</v>
      </c>
      <c r="N13" t="e">
        <f>IF(Monitorios="SI",Datos!CF13,0)</f>
        <v>#REF!</v>
      </c>
      <c r="O13" t="e">
        <f>IF(Monitorios="SI",Datos!CG13,0)</f>
        <v>#REF!</v>
      </c>
      <c r="P13" t="e">
        <f>IF(Monitorios="SI",Datos!CH13,0)</f>
        <v>#REF!</v>
      </c>
      <c r="Q13">
        <f>IF(J_V="SI",0,Datos!AG13)</f>
        <v>24</v>
      </c>
      <c r="R13">
        <f>IF(J_V="SI",0,Datos!AH13)</f>
        <v>57</v>
      </c>
      <c r="S13">
        <f>IF(J_V="SI",0,Datos!AI13)</f>
        <v>65</v>
      </c>
      <c r="T13">
        <f>IF(J_V="SI",0,Datos!AJ13)</f>
        <v>16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5.2989130434782608E-2</v>
      </c>
      <c r="E17" s="347">
        <f>IF(ISNUMBER(
   IF(D_I="SI",(Datos!J17-Datos!T17)/Datos!T17,(Datos!J17+Datos!AD17-(Datos!T17+Datos!AL17))/(Datos!T17+Datos!AL17))
     ),IF(D_I="SI",(Datos!J17-Datos!T17)/Datos!T17,(Datos!J17+Datos!AD17-(Datos!T17+Datos!AL17))/(Datos!T17+Datos!AL17))," - ")</f>
        <v>0.27631578947368424</v>
      </c>
      <c r="F17" s="347">
        <f>IF(ISNUMBER(
   IF(D_I="SI",(Datos!K17-Datos!U17)/Datos!U17,(Datos!K17+Datos!AE17-(Datos!U17+Datos!AM17))/(Datos!U17+Datos!AM17))
     ),IF(D_I="SI",(Datos!K17-Datos!U17)/Datos!U17,(Datos!K17+Datos!AE17-(Datos!U17+Datos!AM17))/(Datos!U17+Datos!AM17))," - ")</f>
        <v>-0.116751269035533</v>
      </c>
      <c r="G17" s="348">
        <f>IF(ISNUMBER(
   IF(D_I="SI",(Datos!L17-Datos!V17)/Datos!V17,(Datos!L17+Datos!AF17-(Datos!V17+Datos!AN17))/(Datos!V17+Datos!AN17))
     ),IF(D_I="SI",(Datos!L17-Datos!V17)/Datos!V17,(Datos!L17+Datos!AF17-(Datos!V17+Datos!AN17))/(Datos!V17+Datos!AN17))," - ")</f>
        <v>0.15050651230101303</v>
      </c>
      <c r="H17" s="229">
        <f>IF(ISNUMBER((Datos!M17-Datos!W17)/Datos!W17),(Datos!M17-Datos!W17)/Datos!W17," - ")</f>
        <v>-0.40909090909090912</v>
      </c>
      <c r="I17" s="349">
        <f>IF(ISNUMBER((Tasas!C17-Datos!BE17)/Datos!BE17),(Tasas!C17-Datos!BE17)/Datos!BE17," - ")</f>
        <v>0.30258495932930768</v>
      </c>
      <c r="J17" s="348">
        <f>IF(ISNUMBER((Tasas!D17-Datos!BF17)/Datos!BF17),(Tasas!D17-Datos!BF17)/Datos!BF17," - ")</f>
        <v>-0.33098223615464989</v>
      </c>
      <c r="K17" s="350">
        <f>IF(ISNUMBER((Tasas!E17-Datos!BG17)/Datos!BG17),(Tasas!E17-Datos!BG17)/Datos!BG17," - ")</f>
        <v>0.2354574401988194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0.13333333333333333</v>
      </c>
      <c r="E18" s="347">
        <f>IF(ISNUMBER(
   IF(D_I="SI",(Datos!J18-Datos!T18)/Datos!T18,(Datos!J18+Datos!AD18-(Datos!T18+Datos!AL18))/(Datos!T18+Datos!AL18))
     ),IF(D_I="SI",(Datos!J18-Datos!T18)/Datos!T18,(Datos!J18+Datos!AD18-(Datos!T18+Datos!AL18))/(Datos!T18+Datos!AL18))," - ")</f>
        <v>2.3636363636363638</v>
      </c>
      <c r="F18" s="347">
        <f>IF(ISNUMBER(
   IF(D_I="SI",(Datos!K18-Datos!U18)/Datos!U18,(Datos!K18+Datos!AE18-(Datos!U18+Datos!AM18))/(Datos!U18+Datos!AM18))
     ),IF(D_I="SI",(Datos!K18-Datos!U18)/Datos!U18,(Datos!K18+Datos!AE18-(Datos!U18+Datos!AM18))/(Datos!U18+Datos!AM18))," - ")</f>
        <v>0.29629629629629628</v>
      </c>
      <c r="G18" s="348">
        <f>IF(ISNUMBER(
   IF(D_I="SI",(Datos!L18-Datos!V18)/Datos!V18,(Datos!L18+Datos!AF18-(Datos!V18+Datos!AN18))/(Datos!V18+Datos!AN18))
     ),IF(D_I="SI",(Datos!L18-Datos!V18)/Datos!V18,(Datos!L18+Datos!AF18-(Datos!V18+Datos!AN18))/(Datos!V18+Datos!AN18))," - ")</f>
        <v>0.63636363636363635</v>
      </c>
      <c r="H18" s="229">
        <f>IF(ISNUMBER((Datos!M18-Datos!W18)/Datos!W18),(Datos!M18-Datos!W18)/Datos!W18," - ")</f>
        <v>-0.2</v>
      </c>
      <c r="I18" s="349">
        <f>IF(ISNUMBER((Tasas!C18-Datos!BE18)/Datos!BE18),(Tasas!C18-Datos!BE18)/Datos!BE18," - ")</f>
        <v>0.26233766233766226</v>
      </c>
      <c r="J18" s="348">
        <f>IF(ISNUMBER((Tasas!D18-Datos!BF18)/Datos!BF18),(Tasas!D18-Datos!BF18)/Datos!BF18," - ")</f>
        <v>-0.38285714285714284</v>
      </c>
      <c r="K18" s="350">
        <f>IF(ISNUMBER((Tasas!E18-Datos!BG18)/Datos!BG18),(Tasas!E18-Datos!BG18)/Datos!BG18," - ")</f>
        <v>0.14084507042253516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5.9045226130653265E-2</v>
      </c>
      <c r="E19" s="353">
        <f>IF(ISNUMBER(
   IF(D_I="SI",(Datos!J19-Datos!T19)/Datos!T19,(Datos!J19+Datos!AD19-(Datos!T19+Datos!AL19))/(Datos!T19+Datos!AL19))
     ),IF(D_I="SI",(Datos!J19-Datos!T19)/Datos!T19,(Datos!J19+Datos!AD19-(Datos!T19+Datos!AL19))/(Datos!T19+Datos!AL19))," - ")</f>
        <v>0.41717791411042943</v>
      </c>
      <c r="F19" s="353">
        <f>IF(ISNUMBER(
   IF(D_I="SI",(Datos!K19-Datos!U19)/Datos!U19,(Datos!K19+Datos!AE19-(Datos!U19+Datos!AM19))/(Datos!U19+Datos!AM19))
     ),IF(D_I="SI",(Datos!K19-Datos!U19)/Datos!U19,(Datos!K19+Datos!AE19-(Datos!U19+Datos!AM19))/(Datos!U19+Datos!AM19))," - ")</f>
        <v>-6.6964285714285712E-2</v>
      </c>
      <c r="G19" s="354">
        <f>IF(ISNUMBER(
   IF(D_I="SI",(Datos!L19-Datos!V19)/Datos!V19,(Datos!L19+Datos!AF19-(Datos!V19+Datos!AN19))/(Datos!V19+Datos!AN19))
     ),IF(D_I="SI",(Datos!L19-Datos!V19)/Datos!V19,(Datos!L19+Datos!AF19-(Datos!V19+Datos!AN19))/(Datos!V19+Datos!AN19))," - ")</f>
        <v>0.17959183673469387</v>
      </c>
      <c r="H19" s="355">
        <f>IF(ISNUMBER((Datos!M19-Datos!W19)/Datos!W19),(Datos!M19-Datos!W19)/Datos!W19," - ")</f>
        <v>-0.38775510204081631</v>
      </c>
      <c r="I19" s="356">
        <f>IF(ISNUMBER((Tasas!C19-Datos!BE19)/Datos!BE19),(Tasas!C19-Datos!BE19)/Datos!BE19," - ")</f>
        <v>0.2642515379357484</v>
      </c>
      <c r="J19" s="354">
        <f>IF(ISNUMBER((Tasas!D19-Datos!BF19)/Datos!BF19),(Tasas!D19-Datos!BF19)/Datos!BF19," - ")</f>
        <v>-0.34381408065618591</v>
      </c>
      <c r="K19" s="357">
        <f>IF(ISNUMBER((Tasas!E19-Datos!BG19)/Datos!BG19),(Tasas!E19-Datos!BG19)/Datos!BG19," - ")</f>
        <v>0.20029336779240745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-4.8114434330299091E-2</v>
      </c>
      <c r="E20" s="362">
        <f>IF(ISNUMBER(
   IF(J_V="SI",(Datos!J20-Datos!T20)/Datos!T20,(Datos!J20+Datos!Z20-(Datos!T20+Datos!AH20))/(Datos!T20+Datos!AH20))
     ),IF(J_V="SI",(Datos!J20-Datos!T20)/Datos!T20,(Datos!J20+Datos!Z20-(Datos!T20+Datos!AH20))/(Datos!T20+Datos!AH20))," - ")</f>
        <v>0.24369747899159663</v>
      </c>
      <c r="F20" s="362">
        <f>IF(ISNUMBER(
   IF(J_V="SI",(Datos!K20-Datos!U20)/Datos!U20,(Datos!K20+Datos!AA20-(Datos!U20+Datos!AI20))/(Datos!U20+Datos!AI20))
     ),IF(J_V="SI",(Datos!K20-Datos!U20)/Datos!U20,(Datos!K20+Datos!AA20-(Datos!U20+Datos!AI20))/(Datos!U20+Datos!AI20))," - ")</f>
        <v>-0.13398058252427184</v>
      </c>
      <c r="G20" s="363">
        <f>IF(ISNUMBER(
   IF(J_V="SI",(Datos!L20-Datos!V20)/Datos!V20,(Datos!L20+Datos!AB20-(Datos!V20+Datos!AJ20))/(Datos!V20+Datos!AJ20))
     ),IF(J_V="SI",(Datos!L20-Datos!V20)/Datos!V20,(Datos!L20+Datos!AB20-(Datos!V20+Datos!AJ20))/(Datos!V20+Datos!AJ20))," - ")</f>
        <v>6.0869565217391307E-2</v>
      </c>
      <c r="H20" s="364">
        <f>IF(ISNUMBER((Datos!M20-Datos!W20)/Datos!W20),(Datos!M20-Datos!W20)/Datos!W20," - ")</f>
        <v>-9.4736842105263161E-2</v>
      </c>
      <c r="I20" s="361">
        <f>IF(ISNUMBER((Tasas!C20-Datos!BE20)/Datos!BE20),(Tasas!C20-Datos!BE20)/Datos!BE20," - ")</f>
        <v>0.2249951257555079</v>
      </c>
      <c r="J20" s="362">
        <f>IF(ISNUMBER((Tasas!D20-Datos!BF20)/Datos!BF20),(Tasas!D20-Datos!BF20)/Datos!BF20," - ")</f>
        <v>-0.49334217992129581</v>
      </c>
      <c r="K20" s="363">
        <f>IF(ISNUMBER((Tasas!E20-Datos!BG20)/Datos!BG20),(Tasas!E20-Datos!BG20)/Datos!BG20," - ")</f>
        <v>0.16263000343126241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5.4835021167338904E-2</v>
      </c>
      <c r="E22" s="277">
        <f t="shared" si="1"/>
        <v>1.1665797453246896</v>
      </c>
      <c r="F22" s="277">
        <f t="shared" si="1"/>
        <v>0.22547922497702852</v>
      </c>
      <c r="G22" s="278">
        <f t="shared" si="1"/>
        <v>0.27468280097062031</v>
      </c>
      <c r="H22" s="284">
        <f t="shared" si="1"/>
        <v>0.30622012668388321</v>
      </c>
      <c r="I22" s="276">
        <f t="shared" si="1"/>
        <v>7.7215148747760254E-2</v>
      </c>
      <c r="J22" s="277">
        <f t="shared" si="1"/>
        <v>0.10200922044046831</v>
      </c>
      <c r="K22" s="278">
        <f t="shared" si="1"/>
        <v>6.2919666953166808E-2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9bf8FK6sf/j2NLwmg8Biabr1hNt/qcgRffNTXUn9aRTMNETu47dwK4IFotTV9VEtmBEvPMZPWzcXzQEE6NZbQ==" saltValue="5rwZFcCQKkXToU+Vs/o6D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v>
      </c>
      <c r="D10" s="224">
        <f>IF(ISNUMBER(Datos!I10),Datos!I10," - ")</f>
        <v>5</v>
      </c>
      <c r="E10" s="225">
        <f>IF(ISNUMBER(Datos!J10),Datos!J10," - ")</f>
        <v>1</v>
      </c>
      <c r="F10" s="225">
        <f>IF(ISNUMBER(Datos!K10),Datos!K10," - ")</f>
        <v>1</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55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27.593220338983052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v>
      </c>
      <c r="D13" s="1044">
        <f>SUBTOTAL(9,D9:D12)</f>
        <v>5</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775</v>
      </c>
      <c r="D17" s="224">
        <f>IF(ISNUMBER(IF(D_I="SI",Datos!I17,Datos!I17+Datos!AC17)),IF(D_I="SI",Datos!I17,Datos!I17+Datos!AC17)," - ")</f>
        <v>775</v>
      </c>
      <c r="E17" s="225">
        <f>IF(ISNUMBER(IF(D_I="SI",Datos!J17,Datos!J17+Datos!AD17)),IF(D_I="SI",Datos!J17,Datos!J17+Datos!AD17)," - ")</f>
        <v>194</v>
      </c>
      <c r="F17" s="225">
        <f>IF(ISNUMBER(IF(D_I="SI",Datos!K17,Datos!K17+Datos!AE17)),IF(D_I="SI",Datos!K17,Datos!K17+Datos!AE17)," - ")</f>
        <v>174</v>
      </c>
      <c r="G17" s="1029" t="str">
        <f>IF(Datos!E17&lt;&gt;"",Datos!E17,Datos!D17)</f>
        <v>04</v>
      </c>
      <c r="H17" s="226">
        <f>IF(ISNUMBER(IF(D_I="SI",Datos!L17,Datos!L17+Datos!AF17)),IF(D_I="SI",Datos!L17,Datos!L17+Datos!AF17)," - ")</f>
        <v>795</v>
      </c>
      <c r="I17" s="1039" t="str">
        <f>IF(ISNUMBER(Datos!AS17/Datos!BM17),Datos!AS17/Datos!BM17," - ")</f>
        <v xml:space="preserve"> - </v>
      </c>
      <c r="J17" s="1040">
        <f>IF(ISNUMBER(Datos!BY17/Datos!CN17),Datos!BY17/Datos!CN17," - ")</f>
        <v>0</v>
      </c>
      <c r="K17" s="229">
        <f t="shared" si="3"/>
        <v>2.5806451612903226E-2</v>
      </c>
      <c r="L17" s="1020">
        <f>IF(ISNUMBER(NºAsuntos!I17/NºAsuntos!G17),(NºAsuntos!I17/NºAsuntos!G17)*11," - ")</f>
        <v>50.258620689655167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70</v>
      </c>
      <c r="D18" s="224">
        <f>IF(ISNUMBER(IF(D_I="SI",Datos!I18,Datos!I18+Datos!AC18)),IF(D_I="SI",Datos!I18,Datos!I18+Datos!AC18)," - ")</f>
        <v>68</v>
      </c>
      <c r="E18" s="225">
        <f>IF(ISNUMBER(IF(D_I="SI",Datos!J18,Datos!J18+Datos!AD18)),IF(D_I="SI",Datos!J18,Datos!J18+Datos!AD18)," - ")</f>
        <v>37</v>
      </c>
      <c r="F18" s="225">
        <f>IF(ISNUMBER(IF(D_I="SI",Datos!K18,Datos!K18+Datos!AE18)),IF(D_I="SI",Datos!K18,Datos!K18+Datos!AE18)," - ")</f>
        <v>35</v>
      </c>
      <c r="G18" s="1029" t="str">
        <f>IF(Datos!E18&lt;&gt;"",Datos!E18,Datos!D18)</f>
        <v>37</v>
      </c>
      <c r="H18" s="226">
        <f>IF(ISNUMBER(IF(D_I="SI",Datos!L18,Datos!L18+Datos!AF18)),IF(D_I="SI",Datos!L18,Datos!L18+Datos!AF18)," - ")</f>
        <v>72</v>
      </c>
      <c r="I18" s="1039" t="str">
        <f>IF(ISNUMBER(Datos!AS18/Datos!BM18),Datos!AS18/Datos!BM18," - ")</f>
        <v xml:space="preserve"> - </v>
      </c>
      <c r="J18" s="1040" t="str">
        <f>IF(ISNUMBER((Datos!BY18+Datos!BZ18)/Datos!CN18),(Datos!BY18+Datos!BZ18)/Datos!CN18," - ")</f>
        <v xml:space="preserve"> - </v>
      </c>
      <c r="K18" s="229">
        <f t="shared" si="3"/>
        <v>2.8571428571428571E-2</v>
      </c>
      <c r="L18" s="1020">
        <f>IF(ISNUMBER(NºAsuntos!I18/NºAsuntos!G18),(NºAsuntos!I18/NºAsuntos!G18)*11," - ")</f>
        <v>22.628571428571426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845</v>
      </c>
      <c r="D19" s="1044">
        <f>SUBTOTAL(9,D15:D18)</f>
        <v>843</v>
      </c>
      <c r="E19" s="1045">
        <f>SUBTOTAL(9,E15:E18)</f>
        <v>231</v>
      </c>
      <c r="F19" s="1045">
        <f>SUBTOTAL(9,F15:F18)</f>
        <v>209</v>
      </c>
      <c r="G19" s="1047" t="str">
        <f ca="1">INDIRECT(CONCATENATE("G",ROW()-1))</f>
        <v>37</v>
      </c>
      <c r="H19" s="1048">
        <f ca="1">SUMIF(G$14:G18,G19,H$14:H18)</f>
        <v>72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850</v>
      </c>
      <c r="D20" s="1066">
        <f>SUBTOTAL(9,D9:D19)</f>
        <v>848</v>
      </c>
      <c r="E20" s="1067">
        <f>SUBTOTAL(9,E9:E19)</f>
        <v>232</v>
      </c>
      <c r="F20" s="1067">
        <f>SUBTOTAL(9,F9:F19)</f>
        <v>210</v>
      </c>
      <c r="G20" s="1068"/>
      <c r="H20" s="1069">
        <f ca="1">SUMIF(B9:B19,"TOTAL",H9:H19)</f>
        <v>72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zhzvaagFh0ePPqs3UVRoWxZG9ohhUyBwDxb1+70I2abfQXwkN3dZ4gFZSGshHxnnRwUlqADf9veh0BgNdKaQhA==" saltValue="1pYoYwI4hPy7UjpBoLlFq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6h1PwNuYHZu2Gk1BgX6EwbA4dcOkDcHXobSy+55kzZlQasOldkgOb7sa9aQSkAeOzavLb8NUpAYIVVeQuEjew==" saltValue="lyPDwg+G/+KqxQ2ChfM9w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v>
      </c>
      <c r="J10" s="180">
        <v>1</v>
      </c>
      <c r="K10" s="180">
        <v>1</v>
      </c>
      <c r="L10" s="180">
        <v>5</v>
      </c>
      <c r="M10" s="180">
        <v>1</v>
      </c>
      <c r="N10" s="180">
        <v>0</v>
      </c>
      <c r="O10" s="180">
        <v>0</v>
      </c>
      <c r="P10" s="180">
        <v>0</v>
      </c>
      <c r="Q10" s="180">
        <v>0</v>
      </c>
      <c r="R10" s="180">
        <v>4</v>
      </c>
      <c r="S10" s="180">
        <v>5</v>
      </c>
      <c r="T10" s="180">
        <v>0</v>
      </c>
      <c r="U10" s="180">
        <v>0</v>
      </c>
      <c r="V10" s="180">
        <v>5</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v>
      </c>
      <c r="AZ10" s="129">
        <f t="shared" si="0"/>
        <v>0</v>
      </c>
      <c r="BA10" s="129">
        <f t="shared" si="0"/>
        <v>0</v>
      </c>
      <c r="BB10" s="129">
        <f t="shared" si="0"/>
        <v>5</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588</v>
      </c>
      <c r="J12" s="182">
        <v>183</v>
      </c>
      <c r="K12" s="182">
        <v>209</v>
      </c>
      <c r="L12" s="182">
        <v>562</v>
      </c>
      <c r="M12" s="182">
        <v>55</v>
      </c>
      <c r="N12" s="182">
        <v>103</v>
      </c>
      <c r="O12" s="180">
        <v>83</v>
      </c>
      <c r="P12" s="182">
        <v>52</v>
      </c>
      <c r="Q12" s="182">
        <v>33</v>
      </c>
      <c r="R12" s="182">
        <v>675</v>
      </c>
      <c r="S12" s="182">
        <v>713</v>
      </c>
      <c r="T12" s="182">
        <v>137</v>
      </c>
      <c r="U12" s="182">
        <v>226</v>
      </c>
      <c r="V12" s="182">
        <v>624</v>
      </c>
      <c r="W12" s="182">
        <v>46</v>
      </c>
      <c r="X12" s="188">
        <v>147</v>
      </c>
      <c r="Y12" s="190">
        <v>28</v>
      </c>
      <c r="Z12" s="180">
        <v>29</v>
      </c>
      <c r="AA12" s="180">
        <v>27</v>
      </c>
      <c r="AB12" s="180">
        <v>30</v>
      </c>
      <c r="AC12" s="182">
        <v>0</v>
      </c>
      <c r="AD12" s="182">
        <v>0</v>
      </c>
      <c r="AE12" s="182">
        <v>0</v>
      </c>
      <c r="AF12" s="188">
        <v>0</v>
      </c>
      <c r="AG12" s="201">
        <v>24</v>
      </c>
      <c r="AH12" s="182">
        <v>57</v>
      </c>
      <c r="AI12" s="182">
        <v>65</v>
      </c>
      <c r="AJ12" s="202">
        <v>16</v>
      </c>
      <c r="AK12" s="181">
        <v>0</v>
      </c>
      <c r="AL12" s="182">
        <v>0</v>
      </c>
      <c r="AM12" s="182">
        <v>0</v>
      </c>
      <c r="AN12" s="188">
        <v>0</v>
      </c>
      <c r="AO12" s="258">
        <v>2</v>
      </c>
      <c r="AP12" s="154">
        <v>2</v>
      </c>
      <c r="AQ12" s="154">
        <v>2</v>
      </c>
      <c r="AR12" s="153">
        <v>2</v>
      </c>
      <c r="AS12" s="339" t="s">
        <v>766</v>
      </c>
      <c r="AT12" s="202"/>
      <c r="AU12" s="201"/>
      <c r="AV12" s="202"/>
      <c r="AW12" s="201"/>
      <c r="AX12" s="202"/>
      <c r="AY12" s="126">
        <f t="shared" si="1"/>
        <v>737</v>
      </c>
      <c r="AZ12" s="127">
        <f t="shared" si="1"/>
        <v>194</v>
      </c>
      <c r="BA12" s="127">
        <f t="shared" si="1"/>
        <v>291</v>
      </c>
      <c r="BB12" s="127">
        <f t="shared" si="1"/>
        <v>640</v>
      </c>
      <c r="BC12" s="125">
        <f>IF(ISNUMBER(X12),X12," - ")</f>
        <v>147</v>
      </c>
      <c r="BD12" s="126">
        <f t="shared" si="2"/>
        <v>1.5</v>
      </c>
      <c r="BE12" s="127">
        <f t="shared" si="3"/>
        <v>2.1993127147766325</v>
      </c>
      <c r="BF12" s="127">
        <f t="shared" si="4"/>
        <v>0.50515463917525771</v>
      </c>
      <c r="BG12" s="195">
        <f t="shared" si="5"/>
        <v>3.1993127147766325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593</v>
      </c>
      <c r="J13" s="183">
        <f t="shared" si="6"/>
        <v>184</v>
      </c>
      <c r="K13" s="183">
        <f t="shared" si="6"/>
        <v>210</v>
      </c>
      <c r="L13" s="183">
        <f t="shared" si="6"/>
        <v>567</v>
      </c>
      <c r="M13" s="183">
        <f t="shared" si="6"/>
        <v>56</v>
      </c>
      <c r="N13" s="183">
        <f t="shared" si="6"/>
        <v>103</v>
      </c>
      <c r="O13" s="183">
        <f t="shared" si="6"/>
        <v>83</v>
      </c>
      <c r="P13" s="183">
        <f t="shared" si="6"/>
        <v>52</v>
      </c>
      <c r="Q13" s="183">
        <f t="shared" si="6"/>
        <v>33</v>
      </c>
      <c r="R13" s="183">
        <f t="shared" si="6"/>
        <v>679</v>
      </c>
      <c r="S13" s="183">
        <f t="shared" si="6"/>
        <v>718</v>
      </c>
      <c r="T13" s="183">
        <f t="shared" si="6"/>
        <v>137</v>
      </c>
      <c r="U13" s="183">
        <f t="shared" si="6"/>
        <v>226</v>
      </c>
      <c r="V13" s="183">
        <f t="shared" si="6"/>
        <v>629</v>
      </c>
      <c r="W13" s="183">
        <f t="shared" si="6"/>
        <v>46</v>
      </c>
      <c r="X13" s="183">
        <f t="shared" si="6"/>
        <v>147</v>
      </c>
      <c r="Y13" s="183">
        <f t="shared" si="6"/>
        <v>28</v>
      </c>
      <c r="Z13" s="183">
        <f t="shared" si="6"/>
        <v>29</v>
      </c>
      <c r="AA13" s="183">
        <f t="shared" si="6"/>
        <v>27</v>
      </c>
      <c r="AB13" s="183">
        <f t="shared" si="6"/>
        <v>30</v>
      </c>
      <c r="AC13" s="183">
        <f t="shared" si="6"/>
        <v>0</v>
      </c>
      <c r="AD13" s="183">
        <f t="shared" si="6"/>
        <v>0</v>
      </c>
      <c r="AE13" s="183">
        <f t="shared" si="6"/>
        <v>0</v>
      </c>
      <c r="AF13" s="183">
        <f>SUBTOTAL(9,AF9:AF12)</f>
        <v>0</v>
      </c>
      <c r="AG13" s="183">
        <f t="shared" ref="AG13:AT13" si="7">SUBTOTAL(9,AG8:AG12)</f>
        <v>24</v>
      </c>
      <c r="AH13" s="183">
        <f t="shared" si="7"/>
        <v>57</v>
      </c>
      <c r="AI13" s="183">
        <f t="shared" si="7"/>
        <v>65</v>
      </c>
      <c r="AJ13" s="183">
        <f t="shared" si="7"/>
        <v>16</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742</v>
      </c>
      <c r="AZ13" s="183">
        <f>SUBTOTAL(9,AZ8:AZ12)</f>
        <v>194</v>
      </c>
      <c r="BA13" s="183">
        <f>SUBTOTAL(9,BA8:BA12)</f>
        <v>291</v>
      </c>
      <c r="BB13" s="183">
        <f>SUBTOTAL(9,BB8:BB12)</f>
        <v>645</v>
      </c>
      <c r="BC13" s="183">
        <f>SUBTOTAL(9,BC8:BC12)</f>
        <v>147</v>
      </c>
      <c r="BD13" s="204">
        <f>IF(ISNUMBER(BA13/AZ13),BA13/AZ13," - ")</f>
        <v>1.5</v>
      </c>
      <c r="BE13" s="205">
        <f>IF(ISNUMBER(BB13/BA13),BB13/BA13, " - ")</f>
        <v>2.2164948453608249</v>
      </c>
      <c r="BF13" s="205">
        <f>IF(ISNUMBER(BC13/BA13),BC13/BA13, " - ")</f>
        <v>0.50515463917525771</v>
      </c>
      <c r="BG13" s="206">
        <f>IF(ISNUMBER((AY13+AZ13)/BA13),(AY13+AZ13)/BA13," - ")</f>
        <v>3.2164948453608249</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775</v>
      </c>
      <c r="J17" s="182">
        <v>194</v>
      </c>
      <c r="K17" s="182">
        <v>174</v>
      </c>
      <c r="L17" s="182">
        <v>795</v>
      </c>
      <c r="M17" s="182">
        <v>26</v>
      </c>
      <c r="N17" s="182">
        <v>106</v>
      </c>
      <c r="O17" s="180">
        <v>0</v>
      </c>
      <c r="P17" s="182">
        <v>12</v>
      </c>
      <c r="Q17" s="182">
        <v>3</v>
      </c>
      <c r="R17" s="182">
        <v>66</v>
      </c>
      <c r="S17" s="182">
        <v>736</v>
      </c>
      <c r="T17" s="182">
        <v>152</v>
      </c>
      <c r="U17" s="182">
        <v>197</v>
      </c>
      <c r="V17" s="182">
        <v>691</v>
      </c>
      <c r="W17" s="182">
        <v>44</v>
      </c>
      <c r="X17" s="188">
        <v>90</v>
      </c>
      <c r="Y17" s="201">
        <v>0</v>
      </c>
      <c r="Z17" s="182">
        <v>0</v>
      </c>
      <c r="AA17" s="182">
        <v>0</v>
      </c>
      <c r="AB17" s="182">
        <v>0</v>
      </c>
      <c r="AC17" s="182">
        <v>0</v>
      </c>
      <c r="AD17" s="182">
        <v>3</v>
      </c>
      <c r="AE17" s="182">
        <v>3</v>
      </c>
      <c r="AF17" s="188">
        <v>0</v>
      </c>
      <c r="AG17" s="201">
        <v>0</v>
      </c>
      <c r="AH17" s="182">
        <v>0</v>
      </c>
      <c r="AI17" s="182">
        <v>0</v>
      </c>
      <c r="AJ17" s="202">
        <v>0</v>
      </c>
      <c r="AK17" s="181">
        <v>0</v>
      </c>
      <c r="AL17" s="182">
        <v>2</v>
      </c>
      <c r="AM17" s="182">
        <v>2</v>
      </c>
      <c r="AN17" s="188">
        <v>0</v>
      </c>
      <c r="AO17" s="258">
        <v>2</v>
      </c>
      <c r="AP17" s="154">
        <v>2</v>
      </c>
      <c r="AQ17" s="154">
        <v>2</v>
      </c>
      <c r="AR17" s="154">
        <v>2</v>
      </c>
      <c r="AS17" s="339" t="s">
        <v>486</v>
      </c>
      <c r="AT17" s="202"/>
      <c r="AU17" s="201"/>
      <c r="AV17" s="202"/>
      <c r="AW17" s="201"/>
      <c r="AX17" s="202"/>
      <c r="AY17" s="126">
        <f t="shared" si="9"/>
        <v>736</v>
      </c>
      <c r="AZ17" s="127">
        <f t="shared" si="9"/>
        <v>152</v>
      </c>
      <c r="BA17" s="127">
        <f t="shared" si="9"/>
        <v>197</v>
      </c>
      <c r="BB17" s="127">
        <f t="shared" si="9"/>
        <v>691</v>
      </c>
      <c r="BC17" s="125">
        <f>IF(ISNUMBER(W17),W17," - ")</f>
        <v>44</v>
      </c>
      <c r="BD17" s="126">
        <f t="shared" ref="BD17" si="16">IF(ISNUMBER(BA17/AZ17),BA17/AZ17," - ")</f>
        <v>1.2960526315789473</v>
      </c>
      <c r="BE17" s="127">
        <f t="shared" ref="BE17" si="17">IF(ISNUMBER(BB17/BA17),BB17/BA17, " - ")</f>
        <v>3.5076142131979697</v>
      </c>
      <c r="BF17" s="127">
        <f t="shared" ref="BF17" si="18">IF(ISNUMBER(BC17/BA17),BC17/BA17, " - ")</f>
        <v>0.2233502538071066</v>
      </c>
      <c r="BG17" s="195">
        <f t="shared" si="10"/>
        <v>4.5076142131979697</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68</v>
      </c>
      <c r="J18" s="182">
        <v>37</v>
      </c>
      <c r="K18" s="182">
        <v>35</v>
      </c>
      <c r="L18" s="182">
        <v>72</v>
      </c>
      <c r="M18" s="182">
        <v>4</v>
      </c>
      <c r="N18" s="182">
        <v>21</v>
      </c>
      <c r="O18" s="182">
        <v>0</v>
      </c>
      <c r="P18" s="182">
        <v>0</v>
      </c>
      <c r="Q18" s="182">
        <v>0</v>
      </c>
      <c r="R18" s="182">
        <v>0</v>
      </c>
      <c r="S18" s="182">
        <v>60</v>
      </c>
      <c r="T18" s="182">
        <v>11</v>
      </c>
      <c r="U18" s="182">
        <v>27</v>
      </c>
      <c r="V18" s="182">
        <v>44</v>
      </c>
      <c r="W18" s="182">
        <v>5</v>
      </c>
      <c r="X18" s="188">
        <v>12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60</v>
      </c>
      <c r="AZ18" s="129">
        <f t="shared" si="19"/>
        <v>11</v>
      </c>
      <c r="BA18" s="129">
        <f t="shared" si="19"/>
        <v>27</v>
      </c>
      <c r="BB18" s="129">
        <f t="shared" si="19"/>
        <v>44</v>
      </c>
      <c r="BC18" s="125">
        <f>IF(ISNUMBER(W18),W18," - ")</f>
        <v>5</v>
      </c>
      <c r="BD18" s="126">
        <f>IF(ISNUMBER(BA18/AZ18),BA18/AZ18," - ")</f>
        <v>2.4545454545454546</v>
      </c>
      <c r="BE18" s="127">
        <f>IF(ISNUMBER(BB18/BA18),BB18/BA18, " - ")</f>
        <v>1.6296296296296295</v>
      </c>
      <c r="BF18" s="127">
        <f>IF(ISNUMBER(BC18/BA18),BC18/BA18, " - ")</f>
        <v>0.18518518518518517</v>
      </c>
      <c r="BG18" s="195">
        <f>IF(ISNUMBER((AY18+AZ18)/BA18),(AY18+AZ18)/BA18," - ")</f>
        <v>2.6296296296296298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843</v>
      </c>
      <c r="J19" s="183">
        <f t="shared" si="20"/>
        <v>231</v>
      </c>
      <c r="K19" s="183">
        <f t="shared" si="20"/>
        <v>209</v>
      </c>
      <c r="L19" s="183">
        <f t="shared" si="20"/>
        <v>867</v>
      </c>
      <c r="M19" s="183">
        <f t="shared" si="20"/>
        <v>30</v>
      </c>
      <c r="N19" s="183">
        <f t="shared" si="20"/>
        <v>127</v>
      </c>
      <c r="O19" s="183">
        <f t="shared" si="20"/>
        <v>0</v>
      </c>
      <c r="P19" s="183">
        <f t="shared" si="20"/>
        <v>12</v>
      </c>
      <c r="Q19" s="183">
        <f t="shared" si="20"/>
        <v>3</v>
      </c>
      <c r="R19" s="183">
        <f t="shared" si="20"/>
        <v>66</v>
      </c>
      <c r="S19" s="183">
        <f t="shared" si="20"/>
        <v>796</v>
      </c>
      <c r="T19" s="183">
        <f t="shared" si="20"/>
        <v>163</v>
      </c>
      <c r="U19" s="183">
        <f t="shared" si="20"/>
        <v>224</v>
      </c>
      <c r="V19" s="183">
        <f t="shared" si="20"/>
        <v>735</v>
      </c>
      <c r="W19" s="183">
        <f t="shared" si="20"/>
        <v>49</v>
      </c>
      <c r="X19" s="183">
        <f t="shared" si="20"/>
        <v>102</v>
      </c>
      <c r="Y19" s="183">
        <f t="shared" si="20"/>
        <v>0</v>
      </c>
      <c r="Z19" s="183">
        <f t="shared" si="20"/>
        <v>0</v>
      </c>
      <c r="AA19" s="183">
        <f t="shared" si="20"/>
        <v>0</v>
      </c>
      <c r="AB19" s="183">
        <f t="shared" si="20"/>
        <v>0</v>
      </c>
      <c r="AC19" s="183">
        <f t="shared" si="20"/>
        <v>0</v>
      </c>
      <c r="AD19" s="183">
        <f t="shared" si="20"/>
        <v>3</v>
      </c>
      <c r="AE19" s="183">
        <f t="shared" si="20"/>
        <v>3</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796</v>
      </c>
      <c r="AZ19" s="183">
        <f>SUBTOTAL(9,AZ14:AZ18)</f>
        <v>163</v>
      </c>
      <c r="BA19" s="183">
        <f>SUBTOTAL(9,BA14:BA18)</f>
        <v>224</v>
      </c>
      <c r="BB19" s="183">
        <f>SUBTOTAL(9,BB14:BB18)</f>
        <v>735</v>
      </c>
      <c r="BC19" s="183">
        <f>SUBTOTAL(9,BC14:BC18)</f>
        <v>49</v>
      </c>
      <c r="BD19" s="204">
        <f>IF(ISNUMBER(BA19/AZ19),BA19/AZ19," - ")</f>
        <v>1.3742331288343559</v>
      </c>
      <c r="BE19" s="205">
        <f>IF(ISNUMBER(BB19/BA19),BB19/BA19, " - ")</f>
        <v>3.28125</v>
      </c>
      <c r="BF19" s="205">
        <f>IF(ISNUMBER(BC19/BA19),BC19/BA19, " - ")</f>
        <v>0.21875</v>
      </c>
      <c r="BG19" s="206">
        <f>IF(ISNUMBER((AY19+AZ19)/BA19),(AY19+AZ19)/BA19," - ")</f>
        <v>4.28125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1436</v>
      </c>
      <c r="J20" s="134">
        <f t="shared" si="23"/>
        <v>415</v>
      </c>
      <c r="K20" s="134">
        <f t="shared" si="23"/>
        <v>419</v>
      </c>
      <c r="L20" s="134">
        <f t="shared" si="23"/>
        <v>1434</v>
      </c>
      <c r="M20" s="134">
        <f t="shared" si="23"/>
        <v>86</v>
      </c>
      <c r="N20" s="134">
        <f t="shared" si="23"/>
        <v>230</v>
      </c>
      <c r="O20" s="134">
        <f t="shared" si="23"/>
        <v>83</v>
      </c>
      <c r="P20" s="134">
        <f t="shared" si="23"/>
        <v>64</v>
      </c>
      <c r="Q20" s="134">
        <f t="shared" si="23"/>
        <v>36</v>
      </c>
      <c r="R20" s="134">
        <f t="shared" si="23"/>
        <v>745</v>
      </c>
      <c r="S20" s="134">
        <f t="shared" si="23"/>
        <v>1514</v>
      </c>
      <c r="T20" s="134">
        <f t="shared" si="23"/>
        <v>300</v>
      </c>
      <c r="U20" s="134">
        <f t="shared" si="23"/>
        <v>450</v>
      </c>
      <c r="V20" s="134">
        <f t="shared" si="23"/>
        <v>1364</v>
      </c>
      <c r="W20" s="134">
        <f t="shared" si="23"/>
        <v>95</v>
      </c>
      <c r="X20" s="134">
        <f t="shared" si="23"/>
        <v>249</v>
      </c>
      <c r="Y20" s="134">
        <f t="shared" si="23"/>
        <v>28</v>
      </c>
      <c r="Z20" s="134">
        <f t="shared" si="23"/>
        <v>29</v>
      </c>
      <c r="AA20" s="134">
        <f t="shared" si="23"/>
        <v>27</v>
      </c>
      <c r="AB20" s="134">
        <f t="shared" si="23"/>
        <v>30</v>
      </c>
      <c r="AC20" s="134">
        <f t="shared" si="23"/>
        <v>0</v>
      </c>
      <c r="AD20" s="134">
        <f t="shared" si="23"/>
        <v>3</v>
      </c>
      <c r="AE20" s="134">
        <f t="shared" si="23"/>
        <v>3</v>
      </c>
      <c r="AF20" s="134">
        <f t="shared" si="23"/>
        <v>0</v>
      </c>
      <c r="AG20" s="134">
        <f t="shared" si="23"/>
        <v>24</v>
      </c>
      <c r="AH20" s="134">
        <f t="shared" si="23"/>
        <v>57</v>
      </c>
      <c r="AI20" s="134">
        <f t="shared" si="23"/>
        <v>65</v>
      </c>
      <c r="AJ20" s="134">
        <f t="shared" si="23"/>
        <v>16</v>
      </c>
      <c r="AK20" s="134">
        <f t="shared" si="23"/>
        <v>0</v>
      </c>
      <c r="AL20" s="134">
        <f t="shared" si="23"/>
        <v>2</v>
      </c>
      <c r="AM20" s="134">
        <f t="shared" si="23"/>
        <v>2</v>
      </c>
      <c r="AN20" s="209">
        <f t="shared" si="23"/>
        <v>0</v>
      </c>
      <c r="AO20" s="210">
        <v>3</v>
      </c>
      <c r="AP20" s="210">
        <v>2</v>
      </c>
      <c r="AQ20" s="210">
        <v>2</v>
      </c>
      <c r="AR20" s="210">
        <v>2</v>
      </c>
      <c r="AS20" s="152">
        <f t="shared" si="23"/>
        <v>0</v>
      </c>
      <c r="AT20" s="152">
        <f t="shared" si="23"/>
        <v>0</v>
      </c>
      <c r="AU20" s="210"/>
      <c r="AV20" s="211"/>
      <c r="AW20" s="210"/>
      <c r="AX20" s="211"/>
      <c r="AY20" s="133">
        <f>SUBTOTAL(9,AY9:AY19)</f>
        <v>1538</v>
      </c>
      <c r="AZ20" s="134">
        <f>SUBTOTAL(9,AZ9:AZ19)</f>
        <v>357</v>
      </c>
      <c r="BA20" s="134">
        <f>SUBTOTAL(9,BA9:BA19)</f>
        <v>515</v>
      </c>
      <c r="BB20" s="134">
        <f>SUBTOTAL(9,BB9:BB19)</f>
        <v>1380</v>
      </c>
      <c r="BC20" s="135">
        <f>SUBTOTAL(9,BC9:BC19)</f>
        <v>196</v>
      </c>
      <c r="BD20" s="212">
        <f>IF(ISNUMBER(BA20/AZ20),BA20/AZ20," - ")</f>
        <v>1.4425770308123249</v>
      </c>
      <c r="BE20" s="209">
        <f>IF(ISNUMBER(BB20/BA20),BB20/BA20, " - ")</f>
        <v>2.679611650485437</v>
      </c>
      <c r="BF20" s="209">
        <f>IF(ISNUMBER(BC20/BA20),BC20/BA20, " - ")</f>
        <v>0.38058252427184464</v>
      </c>
      <c r="BG20" s="135">
        <f>IF(ISNUMBER((AY20+AZ20)/BA20),(AY20+AZ20)/BA20," - ")</f>
        <v>3.679611650485437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rjx5fxJ1MzibpmYr9GLOk+fDU5zDXLbfaIwdVLmmfcqpGcbXpBpOa3RTCelmTpj45H5dYQaQcprc41UH6rnEQ==" saltValue="WGEBvlxrBNhG6nD9n5KdW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DlsI65hpN+3YyDiEDzvJJ/ftVRboMQ0h1l7djFHGL4+OI4upiQb9ByXXPqaj1hiqS7HkAoxbo+ek88JDqhkeQ==" saltValue="P8HHcR94CXYhZubihqUYu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BALMASEDA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5</v>
      </c>
      <c r="AG10" s="333"/>
      <c r="AH10" s="333"/>
      <c r="AI10" s="333"/>
      <c r="AJ10" s="333"/>
      <c r="AK10" s="333"/>
      <c r="AL10" s="478"/>
      <c r="AM10" s="334">
        <f>IF(ISNUMBER(Datos!R10),Datos!R10," - ")</f>
        <v>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15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52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30</v>
      </c>
      <c r="AI12" s="333" t="str">
        <f>IF(ISNUMBER(Datos!CD12),Datos!CD12,"-")</f>
        <v>-</v>
      </c>
      <c r="AJ12" s="333" t="str">
        <f>IF(ISNUMBER(Datos!EN12),Datos!EN12," - ")</f>
        <v xml:space="preserve"> - </v>
      </c>
      <c r="AK12" s="333"/>
      <c r="AL12" s="478"/>
      <c r="AM12" s="334">
        <f>IF(ISNUMBER(Datos!R12),Datos!R12," - ")</f>
        <v>675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55</v>
      </c>
      <c r="BD12" s="228">
        <f>IF(ISNUMBER(Datos!N12),Datos!N12," - ")</f>
        <v>103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1.1132075471698113</v>
      </c>
      <c r="BH12" s="259">
        <f>IF(ISNUMBER(((IF(J_V="SI",Datos!L12/Datos!K12,(Datos!L12+Datos!AB12)/(Datos!K12+Datos!AA12)))*11)/factor_trimestre),((IF(J_V="SI",Datos!L12/Datos!K12,(Datos!L12+Datos!AB12)/(Datos!K12+Datos!AA12)))*11)/factor_trimestre," - ")</f>
        <v>7.5254237288135597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2.8963414634146343E-2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5</v>
      </c>
      <c r="G13" s="895">
        <f t="shared" si="0"/>
        <v>5</v>
      </c>
      <c r="H13" s="896">
        <f t="shared" si="0"/>
        <v>0</v>
      </c>
      <c r="I13" s="895">
        <f t="shared" si="0"/>
        <v>0</v>
      </c>
      <c r="J13" s="864">
        <f t="shared" si="0"/>
        <v>0</v>
      </c>
      <c r="K13" s="864">
        <f t="shared" si="0"/>
        <v>0</v>
      </c>
      <c r="L13" s="896">
        <f t="shared" si="0"/>
        <v>0</v>
      </c>
      <c r="M13" s="896">
        <f t="shared" si="0"/>
        <v>0</v>
      </c>
      <c r="N13" s="896">
        <f t="shared" si="0"/>
        <v>29</v>
      </c>
      <c r="O13" s="897">
        <f t="shared" si="0"/>
        <v>0</v>
      </c>
      <c r="P13" s="897">
        <f t="shared" si="0"/>
        <v>0</v>
      </c>
      <c r="Q13" s="896">
        <f t="shared" si="0"/>
        <v>52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33</v>
      </c>
      <c r="AD13" s="896">
        <f t="shared" si="1"/>
        <v>0</v>
      </c>
      <c r="AE13" s="896">
        <f t="shared" si="1"/>
        <v>0</v>
      </c>
      <c r="AF13" s="896">
        <f t="shared" si="1"/>
        <v>5</v>
      </c>
      <c r="AG13" s="896">
        <f t="shared" si="1"/>
        <v>0</v>
      </c>
      <c r="AH13" s="896">
        <f t="shared" si="1"/>
        <v>30</v>
      </c>
      <c r="AI13" s="896">
        <f t="shared" si="1"/>
        <v>0</v>
      </c>
      <c r="AJ13" s="896">
        <f t="shared" si="1"/>
        <v>0</v>
      </c>
      <c r="AK13" s="896">
        <f t="shared" si="1"/>
        <v>0</v>
      </c>
      <c r="AL13" s="896">
        <f t="shared" si="1"/>
        <v>0</v>
      </c>
      <c r="AM13" s="896">
        <f t="shared" si="1"/>
        <v>679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56</v>
      </c>
      <c r="BD13" s="896">
        <f t="shared" si="1"/>
        <v>103</v>
      </c>
      <c r="BE13" s="896">
        <f t="shared" si="1"/>
        <v>0</v>
      </c>
      <c r="BF13" s="896">
        <f t="shared" si="1"/>
        <v>0</v>
      </c>
      <c r="BG13" s="896">
        <f>IF(ISNUMBER(Datos!K13/Datos!J13),Datos!K13/Datos!J13," - ")</f>
        <v>1.1413043478260869</v>
      </c>
      <c r="BH13" s="900">
        <f>IF(ISNUMBER(((Datos!L13/Datos!K13)*11)/factor_trimestre),((Datos!L13/Datos!K13)*11)/factor_trimestre," - ")</f>
        <v>8.1000000000000014</v>
      </c>
      <c r="BI13" s="896">
        <f>IF(ISNUMBER('Resol  Asuntos'!D13/NºAsuntos!G13),'Resol  Asuntos'!D13/NºAsuntos!G13," - ")</f>
        <v>0.23628691983122363</v>
      </c>
      <c r="BJ13" s="896" t="str">
        <f>IF(ISNUMBER(Datos!CI13/Datos!CJ13),Datos!CI13/Datos!CJ13," - ")</f>
        <v xml:space="preserve"> - </v>
      </c>
      <c r="BK13" s="896">
        <f>SUBTOTAL(9,BK8:BK12)</f>
        <v>0</v>
      </c>
      <c r="BL13" s="896">
        <f>IF(ISNUMBER((I13-AB13+L13)/(F13)),(I13-AB13+L13)/(F13)," - ")</f>
        <v>-0.2</v>
      </c>
      <c r="BM13" s="901">
        <f>SUBTOTAL(9,BM9:BM12)</f>
        <v>2.8963414634146343E-2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775</v>
      </c>
      <c r="G17" s="596">
        <f>IF(ISNUMBER(IF(D_I="SI",Datos!I17,Datos!I17+Datos!AC17)),IF(D_I="SI",Datos!I17,Datos!I17+Datos!AC17)," - ")</f>
        <v>775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174</v>
      </c>
      <c r="AC17" s="225">
        <f>IF(ISNUMBER(Datos!Q17),Datos!Q17," - ")</f>
        <v>3</v>
      </c>
      <c r="AD17" s="333"/>
      <c r="AE17" s="483"/>
      <c r="AF17" s="1192">
        <f>IF(ISNUMBER(IF(D_I="SI",Datos!L17,Datos!L17+Datos!AF17)),IF(D_I="SI",Datos!L17,Datos!L17+Datos!AF17)," - ")</f>
        <v>795</v>
      </c>
      <c r="AG17" s="333"/>
      <c r="AH17" s="333"/>
      <c r="AI17" s="333"/>
      <c r="AJ17" s="333"/>
      <c r="AK17" s="333"/>
      <c r="AL17" s="478"/>
      <c r="AM17" s="334">
        <f>IF(ISNUMBER(Datos!R17),Datos!R17," - ")</f>
        <v>66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26</v>
      </c>
      <c r="BD17" s="228">
        <f>IF(ISNUMBER(Datos!N17),Datos!N17," - ")</f>
        <v>106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0.89690721649484539</v>
      </c>
      <c r="BH17" s="259">
        <f>IF(ISNUMBER(((IF(D_I="SI",Datos!L17/Datos!K17,(Datos!L17+Datos!AF17)/(Datos!K17+Datos!AE17)))*11)/factor_trimestre),((IF(D_I="SI",Datos!L17/Datos!K17,(Datos!L17+Datos!AF17)/(Datos!K17+Datos!AE17)))*11)/factor_trimestre," - ")</f>
        <v>13.706896551724137</v>
      </c>
      <c r="BI17" s="242">
        <f>IF(ISNUMBER('Resol  Asuntos'!D17/NºAsuntos!G17),'Resol  Asuntos'!D17/NºAsuntos!G17," - ")</f>
        <v>0.14942528735632185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35</v>
      </c>
      <c r="AC18" s="225">
        <f>IF(ISNUMBER(Datos!Q18),Datos!Q18," - ")</f>
        <v>0</v>
      </c>
      <c r="AD18" s="333"/>
      <c r="AE18" s="483"/>
      <c r="AF18" s="331">
        <f>IF(ISNUMBER(Datos!L18),Datos!L18,"-")</f>
        <v>72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21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0.94594594594594594</v>
      </c>
      <c r="BH18" s="259">
        <f>IF(ISNUMBER(((IF(D_I="SI",Datos!L18/Datos!K18,(Datos!L18+Datos!AF18)/(Datos!K18+Datos!AE18)))*11)/factor_trimestre),((IF(D_I="SI",Datos!L18/Datos!K18,(Datos!L18+Datos!AF18)/(Datos!K18+Datos!AE18)))*11)/factor_trimestre," - ")</f>
        <v>6.1714285714285708</v>
      </c>
      <c r="BI18" s="242">
        <f>IF(ISNUMBER('Resol  Asuntos'!D18/NºAsuntos!G18),'Resol  Asuntos'!D18/NºAsuntos!G18," - ")</f>
        <v>0.11428571428571428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775</v>
      </c>
      <c r="G19" s="895">
        <f>SUBTOTAL(9,G15:G18)</f>
        <v>843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209</v>
      </c>
      <c r="AC19" s="896">
        <f t="shared" si="4"/>
        <v>3</v>
      </c>
      <c r="AD19" s="896">
        <f t="shared" si="4"/>
        <v>0</v>
      </c>
      <c r="AE19" s="896">
        <f t="shared" si="4"/>
        <v>0</v>
      </c>
      <c r="AF19" s="896">
        <f t="shared" si="4"/>
        <v>867</v>
      </c>
      <c r="AG19" s="896">
        <f t="shared" si="4"/>
        <v>0</v>
      </c>
      <c r="AH19" s="896">
        <f t="shared" si="4"/>
        <v>0</v>
      </c>
      <c r="AI19" s="896">
        <f t="shared" si="4"/>
        <v>0</v>
      </c>
      <c r="AJ19" s="896">
        <f t="shared" si="4"/>
        <v>0</v>
      </c>
      <c r="AK19" s="896">
        <f t="shared" si="4"/>
        <v>0</v>
      </c>
      <c r="AL19" s="896">
        <f t="shared" si="4"/>
        <v>0</v>
      </c>
      <c r="AM19" s="896">
        <f t="shared" si="4"/>
        <v>66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30</v>
      </c>
      <c r="BD19" s="896">
        <f t="shared" si="4"/>
        <v>127</v>
      </c>
      <c r="BE19" s="896">
        <f t="shared" si="4"/>
        <v>0</v>
      </c>
      <c r="BF19" s="896">
        <f t="shared" si="4"/>
        <v>0</v>
      </c>
      <c r="BG19" s="896">
        <f>IF(ISNUMBER(Datos!K19/Datos!J19),Datos!K19/Datos!J19," - ")</f>
        <v>0.90476190476190477</v>
      </c>
      <c r="BH19" s="900">
        <f>IF(ISNUMBER(((Datos!L19/Datos!K19)*11)/factor_trimestre),((Datos!L19/Datos!K19)*11)/factor_trimestre," - ")</f>
        <v>12.444976076555024</v>
      </c>
      <c r="BI19" s="896">
        <f>SUBTOTAL(9,BI15:BI18)</f>
        <v>0.26371100164203615</v>
      </c>
      <c r="BJ19" s="896">
        <f>SUBTOTAL(9,BJ15:BJ18)</f>
        <v>0</v>
      </c>
      <c r="BK19" s="896">
        <f>SUBTOTAL(9,BK15:BK18)</f>
        <v>0</v>
      </c>
      <c r="BL19" s="896">
        <f>IF(ISNUMBER((I19-AB19+L19)/(F19)),(I19-AB19+L19)/(F19)," - ")</f>
        <v>-0.26967741935483869</v>
      </c>
      <c r="BM19" s="902">
        <f>IF(ISNUMBER((Datos!P19-Datos!Q19)/(Datos!R19-Datos!P19+Datos!Q19)),(Datos!P19-Datos!Q19)/(Datos!R19-Datos!P19+Datos!Q19)," - ")</f>
        <v>0.15789473684210525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780</v>
      </c>
      <c r="G20" s="817">
        <f t="shared" si="6"/>
        <v>848</v>
      </c>
      <c r="H20" s="819">
        <f t="shared" si="6"/>
        <v>0</v>
      </c>
      <c r="I20" s="817">
        <f t="shared" si="6"/>
        <v>0</v>
      </c>
      <c r="J20" s="819">
        <f t="shared" si="6"/>
        <v>0</v>
      </c>
      <c r="K20" s="819">
        <f t="shared" si="6"/>
        <v>0</v>
      </c>
      <c r="L20" s="878">
        <f t="shared" si="6"/>
        <v>0</v>
      </c>
      <c r="M20" s="878">
        <f t="shared" si="6"/>
        <v>0</v>
      </c>
      <c r="N20" s="878">
        <f t="shared" si="6"/>
        <v>29</v>
      </c>
      <c r="O20" s="878">
        <f t="shared" si="6"/>
        <v>0</v>
      </c>
      <c r="P20" s="878">
        <f t="shared" si="6"/>
        <v>0</v>
      </c>
      <c r="Q20" s="819">
        <f t="shared" si="6"/>
        <v>64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210</v>
      </c>
      <c r="AC20" s="818">
        <f t="shared" si="7"/>
        <v>36</v>
      </c>
      <c r="AD20" s="818">
        <f t="shared" si="7"/>
        <v>0</v>
      </c>
      <c r="AE20" s="818">
        <f t="shared" si="7"/>
        <v>0</v>
      </c>
      <c r="AF20" s="825">
        <f t="shared" si="7"/>
        <v>872</v>
      </c>
      <c r="AG20" s="825">
        <f t="shared" si="7"/>
        <v>0</v>
      </c>
      <c r="AH20" s="825">
        <f t="shared" si="7"/>
        <v>30</v>
      </c>
      <c r="AI20" s="825">
        <f t="shared" si="7"/>
        <v>0</v>
      </c>
      <c r="AJ20" s="818">
        <f t="shared" si="7"/>
        <v>0</v>
      </c>
      <c r="AK20" s="825">
        <f t="shared" si="7"/>
        <v>0</v>
      </c>
      <c r="AL20" s="825">
        <f t="shared" si="7"/>
        <v>0</v>
      </c>
      <c r="AM20" s="825">
        <f t="shared" si="7"/>
        <v>745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86</v>
      </c>
      <c r="BD20" s="817">
        <f t="shared" si="7"/>
        <v>230</v>
      </c>
      <c r="BE20" s="817">
        <f t="shared" si="7"/>
        <v>0</v>
      </c>
      <c r="BF20" s="827">
        <f t="shared" si="7"/>
        <v>0</v>
      </c>
      <c r="BG20" s="912">
        <f>IF(ISNUMBER(Datos!K20/Datos!J20),Datos!K20/Datos!J20," - ")</f>
        <v>1.0096385542168675</v>
      </c>
      <c r="BH20" s="912">
        <f>IF(ISNUMBER(((Datos!L20/Datos!K20)*11)/factor_trimestre),((Datos!L20/Datos!K20)*11)/factor_trimestre," - ")</f>
        <v>10.2673031026253</v>
      </c>
      <c r="BI20" s="810">
        <f>IF(ISNUMBER(Datos!J20/Datos!I20),Datos!J20/Datos!I20," - ")</f>
        <v>0.28899721448467969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-0.26923076923076922</v>
      </c>
      <c r="BM20" s="886">
        <f>IF(ISNUMBER((Datos!P20-Datos!Q20+R20)/(Datos!R20-Datos!P20+Datos!Q20-R20)),(Datos!P20-Datos!Q20+R20)/(Datos!R20-Datos!P20+Datos!Q20-R20)," - ")</f>
        <v>3.9051603905160388E-2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444.55970727601186</v>
      </c>
      <c r="G22" s="551">
        <f>IF(ISNUMBER(STDEV(G8:G19)),STDEV(G8:G19),"-")</f>
        <v>430.30942355472536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99.879927913470183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23.762715894162152</v>
      </c>
      <c r="BD22" s="550"/>
      <c r="BE22" s="550">
        <f>IF(ISNUMBER(STDEV(BE8:BE19)),STDEV(BE8:BE19),"-")</f>
        <v>0</v>
      </c>
      <c r="BF22" s="555">
        <f>IF(ISNUMBER(STDEV(BF8:BF19)),STDEV(BF8:BF19),"-")</f>
        <v>0</v>
      </c>
      <c r="BG22" s="772">
        <f>IF(ISNUMBER(STDEV(BG8:BG19)),STDEV(BG8:BG19),"-")</f>
        <v>0.1052638314058172</v>
      </c>
      <c r="BH22" s="773">
        <f>IF(ISNUMBER(STDEV(BH8:BH19)),STDEV(BH8:BH19),"-")</f>
        <v>3.678622401072337</v>
      </c>
      <c r="BI22" s="248">
        <f>IF(ISNUMBER(STDEV(BI8:BI19)),STDEV(BI8:BI19),"-")</f>
        <v>7.059582624633251E-2</v>
      </c>
      <c r="BJ22" s="229" t="str">
        <f>IF(ISNUMBER(BL22/BM22),BL22/BM22," - ")</f>
        <v xml:space="preserve"> - </v>
      </c>
      <c r="BK22" s="574"/>
      <c r="BL22" s="558">
        <f>IF(ISNUMBER(STDEV(BL8:BL19)),STDEV(BL8:BL19),"-")</f>
        <v>4.9269375721385317E-2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hUXGKjDWctTiDO7csfg9M94iRY8a/SN0WUi2cgQq/fGLk7dpR3JaXiork5IoZGmA/nApHdWrj3ycXqqmFw0aA==" saltValue="l28Gn6q2bFKAZdOEMn4Dt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BIZKAIA  Resumenes por Partidos Judiciales  BALMASEDA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v>
      </c>
      <c r="G10" s="224">
        <f>IF(ISNUMBER(Datos!I10),Datos!I10," - ")</f>
        <v>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5</v>
      </c>
      <c r="AB10" s="333"/>
      <c r="AC10" s="333"/>
      <c r="AD10" s="483"/>
      <c r="AE10" s="483">
        <f>IF(ISNUMBER(Datos!R10),Datos!R10," - ")</f>
        <v>4</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33</v>
      </c>
      <c r="AA12" s="331" t="str">
        <f>IF(ISNUMBER(IF(J_V="SI",Datos!L12,Datos!L12+Datos!AB12)-IF(Monitorios="SI",Datos!CD12,0)),
                          IF(J_V="SI",Datos!L12,Datos!L12+Datos!AB12)-IF(Monitorios="SI",Datos!CD12,0),
                          " - ")</f>
        <v xml:space="preserve"> - </v>
      </c>
      <c r="AB12" s="333"/>
      <c r="AC12" s="333"/>
      <c r="AD12" s="483"/>
      <c r="AE12" s="483">
        <f>IF(ISNUMBER(Datos!R12),Datos!R12," - ")</f>
        <v>675</v>
      </c>
      <c r="AF12" s="228" t="str">
        <f>IF(ISNUMBER(Datos!BV12),Datos!BV12," - ")</f>
        <v xml:space="preserve"> - </v>
      </c>
      <c r="AG12" s="224" t="str">
        <f>IF(ISNUMBER(Datos!DV12),Datos!DV12," - ")</f>
        <v xml:space="preserve"> - </v>
      </c>
      <c r="AH12" s="297"/>
      <c r="AI12" s="226"/>
      <c r="AJ12" s="224">
        <f>IF(ISNUMBER(Datos!M12),Datos!M12," - ")</f>
        <v>55</v>
      </c>
      <c r="AK12" s="228">
        <f>IF(ISNUMBER(Datos!N12),Datos!N12," - ")</f>
        <v>103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7.5254237288135597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2.8963414634146343E-2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5</v>
      </c>
      <c r="G13" s="895">
        <f>SUBTOTAL(9,G8:G12)</f>
        <v>5</v>
      </c>
      <c r="H13" s="905"/>
      <c r="I13" s="895">
        <f t="shared" ref="I13:N13" si="0">SUBTOTAL(9,I8:I12)</f>
        <v>0</v>
      </c>
      <c r="J13" s="864">
        <f t="shared" si="0"/>
        <v>0</v>
      </c>
      <c r="K13" s="905">
        <f t="shared" si="0"/>
        <v>0</v>
      </c>
      <c r="L13" s="905">
        <f t="shared" si="0"/>
        <v>0</v>
      </c>
      <c r="M13" s="905">
        <f t="shared" si="0"/>
        <v>0</v>
      </c>
      <c r="N13" s="905">
        <f t="shared" si="0"/>
        <v>52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33</v>
      </c>
      <c r="AA13" s="897">
        <f t="shared" si="2"/>
        <v>5</v>
      </c>
      <c r="AB13" s="897">
        <f t="shared" si="2"/>
        <v>0</v>
      </c>
      <c r="AC13" s="897">
        <f t="shared" si="2"/>
        <v>0</v>
      </c>
      <c r="AD13" s="897">
        <f t="shared" si="2"/>
        <v>0</v>
      </c>
      <c r="AE13" s="897">
        <f t="shared" si="2"/>
        <v>679</v>
      </c>
      <c r="AF13" s="905">
        <f t="shared" si="2"/>
        <v>0</v>
      </c>
      <c r="AG13" s="905">
        <f t="shared" si="2"/>
        <v>0</v>
      </c>
      <c r="AH13" s="905">
        <f t="shared" si="2"/>
        <v>0</v>
      </c>
      <c r="AI13" s="905">
        <f t="shared" si="2"/>
        <v>0</v>
      </c>
      <c r="AJ13" s="905">
        <f t="shared" si="2"/>
        <v>56</v>
      </c>
      <c r="AK13" s="905">
        <f t="shared" si="2"/>
        <v>103</v>
      </c>
      <c r="AL13" s="905">
        <f t="shared" si="2"/>
        <v>0</v>
      </c>
      <c r="AM13" s="905">
        <f t="shared" si="2"/>
        <v>0</v>
      </c>
      <c r="AN13" s="905">
        <f t="shared" si="2"/>
        <v>0</v>
      </c>
      <c r="AO13" s="901">
        <f>IF(ISNUMBER(((NºAsuntos!I13/NºAsuntos!G13)*11)/factor_trimestre),((NºAsuntos!I13/NºAsuntos!G13)*11)/factor_trimestre," - ")</f>
        <v>7.556962025316456</v>
      </c>
      <c r="AP13" s="907" t="str">
        <f>IF(ISNUMBER(Datos!CI13/Datos!CJ13),Datos!CI13/Datos!CJ13," - ")</f>
        <v xml:space="preserve"> - </v>
      </c>
      <c r="AQ13" s="923">
        <f t="shared" ref="AQ13:AV13" si="3">SUBTOTAL(9,AQ9:AQ12)</f>
        <v>0</v>
      </c>
      <c r="AR13" s="923">
        <f t="shared" si="3"/>
        <v>2.8963414634146343E-2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775</v>
      </c>
      <c r="G17" s="224">
        <f>IF(ISNUMBER(IF(D_I="SI",Datos!I17,Datos!I17+Datos!AC17)),IF(D_I="SI",Datos!I17,Datos!I17+Datos!AC17)," - ")</f>
        <v>775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174</v>
      </c>
      <c r="Z17" s="617">
        <f>IF(ISNUMBER(Datos!Q17),Datos!Q17," - ")</f>
        <v>3</v>
      </c>
      <c r="AA17" s="331">
        <f>IF(ISNUMBER(IF(D_I="SI",Datos!L17,Datos!L17+Datos!AF17)),IF(D_I="SI",Datos!L17,Datos!L17+Datos!AF17)," - ")</f>
        <v>795</v>
      </c>
      <c r="AB17" s="333"/>
      <c r="AC17" s="333"/>
      <c r="AD17" s="483"/>
      <c r="AE17" s="483">
        <f>IF(ISNUMBER(Datos!R17),Datos!R17," - ")</f>
        <v>66</v>
      </c>
      <c r="AF17" s="228" t="str">
        <f>IF(ISNUMBER(Datos!BV17),Datos!BV17," - ")</f>
        <v xml:space="preserve"> - </v>
      </c>
      <c r="AG17" s="224"/>
      <c r="AH17" s="297"/>
      <c r="AI17" s="226"/>
      <c r="AJ17" s="224">
        <f>IF(ISNUMBER(Datos!M17),Datos!M17," - ")</f>
        <v>26</v>
      </c>
      <c r="AK17" s="228">
        <f>IF(ISNUMBER(Datos!N17),Datos!N17," - ")</f>
        <v>106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13.706896551724137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35</v>
      </c>
      <c r="Z18" s="617">
        <f>IF(ISNUMBER(Datos!Q18),Datos!Q18," - ")</f>
        <v>0</v>
      </c>
      <c r="AA18" s="331">
        <f>IF(ISNUMBER(Datos!L18),Datos!L18,"-")</f>
        <v>72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v>
      </c>
      <c r="AK18" s="228">
        <f>IF(ISNUMBER(Datos!N18),Datos!N18," - ")</f>
        <v>21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6.1714285714285708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775</v>
      </c>
      <c r="G19" s="895">
        <f>SUBTOTAL(9,G15:G18)</f>
        <v>843</v>
      </c>
      <c r="H19" s="927">
        <f>SUBTOTAL(9,H15:H18)</f>
        <v>0</v>
      </c>
      <c r="I19" s="908">
        <f>SUBTOTAL(9,I15:I18)</f>
        <v>0</v>
      </c>
      <c r="J19" s="864">
        <f>SUBTOTAL(9,J14:J18)</f>
        <v>0</v>
      </c>
      <c r="K19" s="927">
        <f t="shared" ref="K19:S19" si="4">SUBTOTAL(9,K15:K18)</f>
        <v>0</v>
      </c>
      <c r="L19" s="927">
        <f t="shared" si="4"/>
        <v>0</v>
      </c>
      <c r="M19" s="927">
        <f t="shared" si="4"/>
        <v>0</v>
      </c>
      <c r="N19" s="927">
        <f t="shared" si="4"/>
        <v>12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209</v>
      </c>
      <c r="Z19" s="927">
        <f t="shared" si="5"/>
        <v>3</v>
      </c>
      <c r="AA19" s="927">
        <f t="shared" si="5"/>
        <v>867</v>
      </c>
      <c r="AB19" s="927">
        <f t="shared" si="5"/>
        <v>0</v>
      </c>
      <c r="AC19" s="927">
        <f t="shared" si="5"/>
        <v>0</v>
      </c>
      <c r="AD19" s="927">
        <f t="shared" si="5"/>
        <v>0</v>
      </c>
      <c r="AE19" s="927">
        <f t="shared" si="5"/>
        <v>66</v>
      </c>
      <c r="AF19" s="927">
        <f t="shared" si="5"/>
        <v>0</v>
      </c>
      <c r="AG19" s="927">
        <f t="shared" si="5"/>
        <v>0</v>
      </c>
      <c r="AH19" s="927">
        <f t="shared" si="5"/>
        <v>0</v>
      </c>
      <c r="AI19" s="927">
        <f t="shared" si="5"/>
        <v>0</v>
      </c>
      <c r="AJ19" s="927">
        <f t="shared" si="5"/>
        <v>30</v>
      </c>
      <c r="AK19" s="927">
        <f t="shared" si="5"/>
        <v>127</v>
      </c>
      <c r="AL19" s="927">
        <f t="shared" si="5"/>
        <v>0</v>
      </c>
      <c r="AM19" s="927">
        <f t="shared" si="5"/>
        <v>0</v>
      </c>
      <c r="AN19" s="927">
        <f t="shared" si="5"/>
        <v>0</v>
      </c>
      <c r="AO19" s="929">
        <f>IF(ISNUMBER(((NºAsuntos!I19/NºAsuntos!G19)*11)/factor_trimestre),((NºAsuntos!I19/NºAsuntos!G19)*11)/factor_trimestre," - ")</f>
        <v>12.444976076555024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780</v>
      </c>
      <c r="G20" s="817">
        <f t="shared" si="7"/>
        <v>848</v>
      </c>
      <c r="H20" s="818">
        <f t="shared" si="7"/>
        <v>0</v>
      </c>
      <c r="I20" s="817">
        <f t="shared" si="7"/>
        <v>0</v>
      </c>
      <c r="J20" s="819">
        <f t="shared" si="7"/>
        <v>0</v>
      </c>
      <c r="K20" s="817">
        <f t="shared" si="7"/>
        <v>0</v>
      </c>
      <c r="L20" s="820">
        <f t="shared" si="7"/>
        <v>0</v>
      </c>
      <c r="M20" s="817">
        <f t="shared" si="7"/>
        <v>0</v>
      </c>
      <c r="N20" s="818">
        <f t="shared" si="7"/>
        <v>64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210</v>
      </c>
      <c r="Z20" s="824">
        <f t="shared" si="8"/>
        <v>36</v>
      </c>
      <c r="AA20" s="825">
        <f t="shared" si="8"/>
        <v>872</v>
      </c>
      <c r="AB20" s="825">
        <f t="shared" si="8"/>
        <v>0</v>
      </c>
      <c r="AC20" s="825">
        <f t="shared" si="8"/>
        <v>0</v>
      </c>
      <c r="AD20" s="826">
        <f t="shared" si="8"/>
        <v>0</v>
      </c>
      <c r="AE20" s="826">
        <f t="shared" si="8"/>
        <v>745</v>
      </c>
      <c r="AF20" s="827">
        <f t="shared" si="8"/>
        <v>0</v>
      </c>
      <c r="AG20" s="828">
        <f t="shared" si="8"/>
        <v>0</v>
      </c>
      <c r="AH20" s="829">
        <f t="shared" si="8"/>
        <v>0</v>
      </c>
      <c r="AI20" s="827">
        <f t="shared" si="8"/>
        <v>0</v>
      </c>
      <c r="AJ20" s="817">
        <f t="shared" si="8"/>
        <v>86</v>
      </c>
      <c r="AK20" s="817">
        <f t="shared" si="8"/>
        <v>230</v>
      </c>
      <c r="AL20" s="817">
        <f t="shared" si="8"/>
        <v>0</v>
      </c>
      <c r="AM20" s="830">
        <f t="shared" si="8"/>
        <v>0</v>
      </c>
      <c r="AN20" s="820">
        <f>IF(ISNUMBER(Datos!K20/Datos!J20),Datos!K20/Datos!J20," - ")</f>
        <v>1.0096385542168675</v>
      </c>
      <c r="AO20" s="820">
        <f>IF(ISNUMBER(FIND("06",Criterios!A8,1)),(IF(ISNUMBER(((Datos!R20/Datos!Q20)*11)/factor_trimestre),((Datos!R20/Datos!Q20)*11)/factor_trimestre," - ")),(IF(ISNUMBER(((Datos!L20/Datos!K20)*11)/factor_trimestre),((Datos!L20/Datos!K20)*11)/factor_trimestre," - ")))</f>
        <v>10.2673031026253</v>
      </c>
      <c r="AP20" s="831" t="str">
        <f>IF(ISNUMBER(Datos!CI20/Datos!CJ20),Datos!CI20/Datos!CJ20," - ")</f>
        <v xml:space="preserve"> - </v>
      </c>
      <c r="AQ20" s="831">
        <f>IF(OR(ISNUMBER(FIND("01",Criterios!A8,1)),ISNUMBER(FIND("02",Criterios!A8,1)),ISNUMBER(FIND("03",Criterios!A8,1)),ISNUMBER(FIND("04",Criterios!A8,1))),(J20-Y20+K20)/(F20-K20),(I20-Y20+K20)/(F20-K20))</f>
        <v>-0.26923076923076922</v>
      </c>
      <c r="AR20" s="831">
        <f>IF(ISNUMBER((Datos!P20-Datos!Q20+O20)/(Datos!R20-Datos!P20+Datos!Q20-O20)),(Datos!P20-Datos!Q20+O20)/(Datos!R20-Datos!P20+Datos!Q20-O20)," - ")</f>
        <v>3.9051603905160388E-2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339.2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444.55970727601186</v>
      </c>
      <c r="G22" s="551">
        <f>IF(ISNUMBER(STDEV(G8:G19)),STDEV(G8:G19),"-")</f>
        <v>430.30942355472536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23.762715894162152</v>
      </c>
      <c r="AK22" s="251"/>
      <c r="AL22" s="251">
        <f>IF(ISNUMBER(STDEV(AL8:AL19)),STDEV(AL8:AL19),"-")</f>
        <v>0</v>
      </c>
      <c r="AM22" s="253">
        <f>IF(ISNUMBER(STDEV(AM8:AM19)),STDEV(AM8:AM19),"-")</f>
        <v>0</v>
      </c>
      <c r="AN22" s="538">
        <f>IF(ISNUMBER(STDEV(AN8:AN19)),STDEV(AN8:AN19),"-")</f>
        <v>0</v>
      </c>
      <c r="AO22" s="539">
        <f>IF(ISNUMBER(STDEV(AO8:AO19)),STDEV(AO8:AO19),"-")</f>
        <v>3.7551126896043554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4sXzJVTp4DpOX99V4wLElcYWaqaJzxf03MEsTn3j+Pl1mcm1crtyDdBTyXg56Fo0xmdMnJ8fdMS74T8OcV50g==" saltValue="q92cIqGEgXdF8/eDamhDN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6OEtIOtFpEnBdXm0s8yynqfz5OYv409hPCIC0UnfHO7ecRm2jFi+gTrF4vYonH/5zOGZt2cXS1XvIu6g6IUhww==" saltValue="AMxXMMH5ZB8V6zFwSM5o1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F5FsWdtLRzeIz4UVzfpsc84BtXQDNb34muXIEfegHsitVxvl2lt1/fpE+WVnjJKQ9BsnNgPC/gdOraZTGYZPQ==" saltValue="8qBi1tqoNNcgAeQsLws/R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BALMASEDA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0.23628691983122363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0.16708008331834034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nFYdwJj1H/rWes3DUky6gf6vAS3gXGkoLqKeDcCI8EYfESvn3Kg6R6y6sK5w4MZ9y/zrumrwp8/8KCJJmr2pw==" saltValue="mMoerfCZ1L7pSZRAApy8z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Wrb7u5pPhXU7ULZ5pbRKpRYJS7bPi12kVLidqXt+ydS6GH7wh7o64uTU3fUrR+uXVCtiZTgFoWOL9yR8aU4SA==" saltValue="tIdapk5PLhStYOgCl7GXb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BIZKAIA  Resumenes por Partidos Judiciales  BALMASEDA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v>
      </c>
      <c r="G10" s="681">
        <f>IF(ISNUMBER(Datos!I10),Datos!I10," - ")</f>
        <v>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675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55</v>
      </c>
      <c r="AM12" s="687">
        <f>IF(ISNUMBER(Datos!N12+DatosP!N17),Datos!N12+DatosP!N17," - ")</f>
        <v>103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7.5254237288135597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2.8963414634146343E-2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5</v>
      </c>
      <c r="G13" s="933">
        <f t="shared" si="0"/>
        <v>5</v>
      </c>
      <c r="H13" s="933">
        <f t="shared" si="0"/>
        <v>0</v>
      </c>
      <c r="I13" s="935">
        <f t="shared" si="0"/>
        <v>0</v>
      </c>
      <c r="J13" s="934">
        <f t="shared" si="0"/>
        <v>0</v>
      </c>
      <c r="K13" s="934">
        <f t="shared" si="0"/>
        <v>0</v>
      </c>
      <c r="L13" s="936">
        <f t="shared" si="0"/>
        <v>0</v>
      </c>
      <c r="M13" s="936">
        <f t="shared" si="0"/>
        <v>0</v>
      </c>
      <c r="N13" s="934">
        <f t="shared" si="0"/>
        <v>52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33</v>
      </c>
      <c r="AE13" s="934">
        <f t="shared" si="1"/>
        <v>0</v>
      </c>
      <c r="AF13" s="934">
        <f t="shared" si="1"/>
        <v>5</v>
      </c>
      <c r="AG13" s="934">
        <f t="shared" si="1"/>
        <v>0</v>
      </c>
      <c r="AH13" s="934">
        <f t="shared" si="1"/>
        <v>675</v>
      </c>
      <c r="AI13" s="934">
        <f t="shared" si="1"/>
        <v>0</v>
      </c>
      <c r="AJ13" s="934">
        <f t="shared" si="1"/>
        <v>0</v>
      </c>
      <c r="AK13" s="934">
        <f t="shared" si="1"/>
        <v>0</v>
      </c>
      <c r="AL13" s="934">
        <f t="shared" si="1"/>
        <v>56</v>
      </c>
      <c r="AM13" s="934">
        <f t="shared" si="1"/>
        <v>103</v>
      </c>
      <c r="AN13" s="934">
        <f t="shared" si="1"/>
        <v>0</v>
      </c>
      <c r="AO13" s="934">
        <f t="shared" si="1"/>
        <v>0</v>
      </c>
      <c r="AP13" s="939">
        <f>IF(ISNUMBER(((Datos!L13/Datos!K13)*11)/factor_trimestre),((Datos!L13/Datos!K13)*11)/factor_trimestre," - ")</f>
        <v>8.1000000000000014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v>
      </c>
      <c r="AU13" s="934" t="str">
        <f>IF(ISNUMBER((DatosP!#REF!-DatosP!#REF!+DatosP!#REF!)/(DatosP!#REF!+DatosP!#REF!-DatosP!#REF!-DatosP!#REF!)),(DatosP!#REF!-DatosP!#REF!+DatosP!#REF!)/(DatosP!#REF!+DatosP!#REF!-DatosP!#REF!-DatosP!#REF!)," - ")</f>
        <v xml:space="preserve"> - </v>
      </c>
      <c r="AV13" s="940">
        <f>SUBTOTAL(9,AV9:AV12)</f>
        <v>2.8963414634146343E-2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12.444976076555024</v>
      </c>
      <c r="AQ19" s="939">
        <f>IF(ISNUMBER(((Datos!M19/Datos!L19)*11)/factor_trimestre),((Datos!M19/Datos!L19)*11)/factor_trimestre," - ")</f>
        <v>0.10380622837370244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0.15789473684210525</v>
      </c>
      <c r="AW19" s="941">
        <f>IF(ISNUMBER((Datos!Q19-Datos!R19)/(Datos!S19-Datos!Q19+Datos!R19)),(Datos!Q19-Datos!R19)/(Datos!S19-Datos!Q19+Datos!R19)," - ")</f>
        <v>-7.334109429569266E-2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5</v>
      </c>
      <c r="G20" s="946">
        <f t="shared" si="4"/>
        <v>5</v>
      </c>
      <c r="H20" s="946">
        <f t="shared" si="4"/>
        <v>0</v>
      </c>
      <c r="I20" s="947">
        <f t="shared" si="4"/>
        <v>0</v>
      </c>
      <c r="J20" s="948">
        <f t="shared" si="4"/>
        <v>0</v>
      </c>
      <c r="K20" s="948">
        <f t="shared" si="4"/>
        <v>0</v>
      </c>
      <c r="L20" s="948">
        <f t="shared" si="4"/>
        <v>0</v>
      </c>
      <c r="M20" s="948">
        <f t="shared" si="4"/>
        <v>0</v>
      </c>
      <c r="N20" s="947">
        <f t="shared" si="4"/>
        <v>52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33</v>
      </c>
      <c r="AE20" s="952">
        <f t="shared" si="5"/>
        <v>0</v>
      </c>
      <c r="AF20" s="953">
        <f t="shared" si="5"/>
        <v>5</v>
      </c>
      <c r="AG20" s="953">
        <f t="shared" si="5"/>
        <v>0</v>
      </c>
      <c r="AH20" s="953">
        <f t="shared" si="5"/>
        <v>675</v>
      </c>
      <c r="AI20" s="953">
        <f t="shared" si="5"/>
        <v>0</v>
      </c>
      <c r="AJ20" s="954">
        <f t="shared" si="5"/>
        <v>0</v>
      </c>
      <c r="AK20" s="954">
        <f t="shared" si="5"/>
        <v>0</v>
      </c>
      <c r="AL20" s="946">
        <f t="shared" si="5"/>
        <v>56</v>
      </c>
      <c r="AM20" s="946">
        <f t="shared" si="5"/>
        <v>103</v>
      </c>
      <c r="AN20" s="946">
        <f t="shared" si="5"/>
        <v>0</v>
      </c>
      <c r="AO20" s="946">
        <f t="shared" si="5"/>
        <v>0</v>
      </c>
      <c r="AP20" s="946">
        <f>IF(ISNUMBER(((Datos!L20/Datos!K20)*11)/factor_trimestre),((Datos!L20/Datos!K20)*11)/factor_trimestre," - ")</f>
        <v>10.2673031026253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3.9051603905160388E-2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3.3333333333333335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2.8867513459481287</v>
      </c>
      <c r="G22" s="734">
        <f>IF(ISNUMBER(STDEV(G8:G19)),STDEV(G8:G19),"-")</f>
        <v>2.8867513459481287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31.759513010540111</v>
      </c>
      <c r="AM22" s="733"/>
      <c r="AN22" s="733">
        <f>IF(ISNUMBER(STDEV(AN8:AN19)),STDEV(AN8:AN19),"-")</f>
        <v>0</v>
      </c>
      <c r="AO22" s="739">
        <f>IF(ISNUMBER(STDEV(AO8:AO19)),STDEV(AO8:AO19),"-")</f>
        <v>0</v>
      </c>
      <c r="AP22" s="776">
        <f>IF(ISNUMBER(STDEV(AP8:AP19)),STDEV(AP8:AP19),"-")</f>
        <v>3.5755930508398848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USPjPXJlPAQit5kRTYxmfQyuAQsR8Pvvnmp5Em+vipGoAVO1R9wqvZ7IQgFbw66AwDvdv/ooiM6SXLYUJoCgw==" saltValue="JvOu8GJ+gQT84YnAe3KUA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BIZKAIA  Resumenes por Partidos Judiciales  BALMASEDA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72.987992791347011</v>
      </c>
      <c r="CF9" s="228">
        <f ca="1">AVERAGEIFS($AB:$AB,$BW:$BW,BW9,$BX:$BX,BX9)</f>
        <v>72.987992791347011</v>
      </c>
      <c r="CG9" s="1191">
        <v>0.7</v>
      </c>
      <c r="CH9" s="1191">
        <f ca="1">AVERAGEIF($BW:$BW,$BW9,$AC:$AC)</f>
        <v>10.8</v>
      </c>
      <c r="CI9" s="228">
        <f ca="1">AVERAGEIFS($AC:$AC,$BW:$BW,$BW9,$BX:$BX,$BX9)</f>
        <v>10.8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290.66666666666669</v>
      </c>
      <c r="CR9" s="228">
        <f ca="1">AVERAGEIFS($AF:$AF,$BW:$BW,BW9,$BX:$BX,BX9)</f>
        <v>290.66666666666669</v>
      </c>
      <c r="CS9" s="1191">
        <v>1.3</v>
      </c>
      <c r="CT9" s="1191">
        <v>1.5</v>
      </c>
      <c r="CU9" s="1191">
        <f ca="1">AVERAGEIF($BW:$BW,$BW9,$AH:$AH)</f>
        <v>12.857142857142858</v>
      </c>
      <c r="CV9" s="228">
        <f ca="1">AVERAGEIFS($AH:$AH,$BW:$BW,$BW9,$BX:$BX,$BX9)</f>
        <v>12.857142857142858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223.5</v>
      </c>
      <c r="DH9" s="228">
        <f ca="1">AVERAGEIFS($AM:$AM,$BW:$BW,$BW9,$BX:$BX,$BX9)</f>
        <v>223.5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6.9904227665653567</v>
      </c>
      <c r="ER9" s="228">
        <f ca="1">AVERAGEIFS($BH:$BH,$BW:$BW,$BW9,$BX:$BX,$BX9)</f>
        <v>6.9904227665653567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5</v>
      </c>
      <c r="AG10" s="333"/>
      <c r="AH10" s="224"/>
      <c r="AI10" s="224"/>
      <c r="AJ10" s="224"/>
      <c r="AK10" s="333"/>
      <c r="AL10" s="478"/>
      <c r="AM10" s="224">
        <f>IF(ISNUMBER(Datos!R10),Datos!R10," - ")</f>
        <v>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15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72.987992791347011</v>
      </c>
      <c r="CF10" s="228">
        <f ca="1">AVERAGEIFS($AB:$AB,$BW:$BW,BW10,$BX:$BX,BX10)</f>
        <v>72.987992791347011</v>
      </c>
      <c r="CG10" s="1191">
        <v>0.7</v>
      </c>
      <c r="CH10" s="1191">
        <f ca="1">AVERAGEIF($BW:$BW,BW10,$AC:$AC)</f>
        <v>10.8</v>
      </c>
      <c r="CI10" s="228">
        <f ca="1">AVERAGEIFS($AC:$AC,$BW:$BW,BW10,$BX:$BX,BX10)</f>
        <v>10.8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290.66666666666669</v>
      </c>
      <c r="CR10" s="228">
        <f ca="1">AVERAGEIFS($AF:$AF,$BW:$BW,BW10,$BX:$BX,BX10)</f>
        <v>290.66666666666669</v>
      </c>
      <c r="CS10" s="1191">
        <v>1.3</v>
      </c>
      <c r="CT10" s="1191">
        <v>1.5</v>
      </c>
      <c r="CU10" s="1191">
        <f ca="1">AVERAGEIF($BW:$BW,$BW10,$AH:$AH)</f>
        <v>12.857142857142858</v>
      </c>
      <c r="CV10" s="228">
        <f ca="1">AVERAGEIFS($AH:$AH,$BW:$BW,$BW10,$BX:$BX,$BX10)</f>
        <v>12.857142857142858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223.5</v>
      </c>
      <c r="DH10" s="228">
        <f ca="1">AVERAGEIFS($AM:$AM,$BW:$BW,$BW10,$BX:$BX,$BX10)</f>
        <v>223.5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6.9904227665653567</v>
      </c>
      <c r="ER10" s="228">
        <f ca="1">AVERAGEIFS($BH:$BH,$BW:$BW,$BW10,$BX:$BX,$BX10)</f>
        <v>6.9904227665653567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72.987992791347011</v>
      </c>
      <c r="CF11" s="228">
        <f ca="1">AVERAGEIFS($AB:$AB,$BW:$BW,BW11,$BX:$BX,BX11)</f>
        <v>72.987992791347011</v>
      </c>
      <c r="CG11" s="1191">
        <v>0.7</v>
      </c>
      <c r="CH11" s="1191">
        <f ca="1">AVERAGEIF($BW:$BW,BW11,$AC:$AC)</f>
        <v>10.8</v>
      </c>
      <c r="CI11" s="228">
        <f ca="1">AVERAGEIFS($AC:$AC,$BW:$BW,BW11,$BX:$BX,BX11)</f>
        <v>10.8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290.66666666666669</v>
      </c>
      <c r="CR11" s="228">
        <f ca="1">AVERAGEIFS($AF:$AF,$BW:$BW,BW11,$BX:$BX,BX11)</f>
        <v>290.66666666666669</v>
      </c>
      <c r="CS11" s="1191">
        <v>1.3</v>
      </c>
      <c r="CT11" s="1191">
        <v>1.5</v>
      </c>
      <c r="CU11" s="1191">
        <f ca="1">AVERAGEIF($BW:$BW,$BW11,$AH:$AH)</f>
        <v>12.857142857142858</v>
      </c>
      <c r="CV11" s="228">
        <f ca="1">AVERAGEIFS($AH:$AH,$BW:$BW,$BW11,$BX:$BX,$BX11)</f>
        <v>12.857142857142858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223.5</v>
      </c>
      <c r="DH11" s="228">
        <f ca="1">AVERAGEIFS($AM:$AM,$BW:$BW,$BW11,$BX:$BX,$BX11)</f>
        <v>223.5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6.9904227665653567</v>
      </c>
      <c r="ER11" s="228">
        <f ca="1">AVERAGEIFS($BH:$BH,$BW:$BW,$BW11,$BX:$BX,$BX11)</f>
        <v>6.9904227665653567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52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30</v>
      </c>
      <c r="AI12" s="224" t="str">
        <f>IF(ISNUMBER(Datos!CD12),Datos!CD12,"-")</f>
        <v>-</v>
      </c>
      <c r="AJ12" s="224" t="str">
        <f>IF(ISNUMBER(Datos!EN12),Datos!EN12," - ")</f>
        <v xml:space="preserve"> - </v>
      </c>
      <c r="AK12" s="333"/>
      <c r="AL12" s="478"/>
      <c r="AM12" s="224">
        <f>IF(ISNUMBER(Datos!R12),Datos!R12," - ")</f>
        <v>675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55</v>
      </c>
      <c r="BD12" s="228">
        <f>IF(ISNUMBER(Datos!N12),Datos!N12," - ")</f>
        <v>103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1.1132075471698113</v>
      </c>
      <c r="BH12" s="224">
        <f>IF(ISNUMBER(((IF(J_V="SI",Datos!L12/Datos!K12,(Datos!L12+Datos!AB12)/(Datos!K12+Datos!AA12)))*11)/factor_trimestre),((IF(J_V="SI",Datos!L12/Datos!K12,(Datos!L12+Datos!AB12)/(Datos!K12+Datos!AA12)))*11)/factor_trimestre," - ")</f>
        <v>7.5254237288135597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2.8963414634146343E-2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72.987992791347011</v>
      </c>
      <c r="CF12" s="228">
        <f ca="1">AVERAGEIFS($AB:$AB,$BW:$BW,BW12,$BX:$BX,BX12)</f>
        <v>72.987992791347011</v>
      </c>
      <c r="CG12" s="1191">
        <v>0.7</v>
      </c>
      <c r="CH12" s="1191">
        <f ca="1">AVERAGEIF($BW:$BW,BW12,$AC:$AC)</f>
        <v>10.8</v>
      </c>
      <c r="CI12" s="228">
        <f ca="1">AVERAGEIFS($AC:$AC,$BW:$BW,BW12,$BX:$BX,BX12)</f>
        <v>10.8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290.66666666666669</v>
      </c>
      <c r="CR12" s="228">
        <f ca="1">AVERAGEIFS($AF:$AF,$BW:$BW,BW12,$BX:$BX,BX12)</f>
        <v>290.66666666666669</v>
      </c>
      <c r="CS12" s="1191">
        <v>1.3</v>
      </c>
      <c r="CT12" s="1191">
        <v>1.5</v>
      </c>
      <c r="CU12" s="1191">
        <f ca="1">AVERAGEIF($BW:$BW,$BW12,$AH:$AH)</f>
        <v>12.857142857142858</v>
      </c>
      <c r="CV12" s="228">
        <f ca="1">AVERAGEIFS($AH:$AH,$BW:$BW,$BW12,$BX:$BX,$BX12)</f>
        <v>12.857142857142858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223.5</v>
      </c>
      <c r="DH12" s="228">
        <f ca="1">AVERAGEIFS($AM:$AM,$BW:$BW,$BW12,$BX:$BX,$BX12)</f>
        <v>223.5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6.9904227665653567</v>
      </c>
      <c r="ER12" s="228">
        <f ca="1">AVERAGEIFS($BH:$BH,$BW:$BW,$BW12,$BX:$BX,$BX12)</f>
        <v>6.9904227665653567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5</v>
      </c>
      <c r="G13" s="895">
        <f t="shared" si="1"/>
        <v>5</v>
      </c>
      <c r="H13" s="896">
        <f t="shared" si="1"/>
        <v>0</v>
      </c>
      <c r="I13" s="895">
        <f t="shared" si="1"/>
        <v>0</v>
      </c>
      <c r="J13" s="864">
        <f t="shared" si="1"/>
        <v>0</v>
      </c>
      <c r="K13" s="864">
        <f t="shared" si="1"/>
        <v>0</v>
      </c>
      <c r="L13" s="896">
        <f t="shared" si="1"/>
        <v>0</v>
      </c>
      <c r="M13" s="896">
        <f t="shared" si="1"/>
        <v>0</v>
      </c>
      <c r="N13" s="896">
        <f t="shared" si="1"/>
        <v>29</v>
      </c>
      <c r="O13" s="897">
        <f t="shared" si="1"/>
        <v>0</v>
      </c>
      <c r="P13" s="897">
        <f t="shared" si="1"/>
        <v>0</v>
      </c>
      <c r="Q13" s="896">
        <f t="shared" si="1"/>
        <v>52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33</v>
      </c>
      <c r="AD13" s="896">
        <f t="shared" si="2"/>
        <v>0</v>
      </c>
      <c r="AE13" s="896">
        <f t="shared" si="2"/>
        <v>0</v>
      </c>
      <c r="AF13" s="896">
        <f t="shared" si="2"/>
        <v>5</v>
      </c>
      <c r="AG13" s="896">
        <f t="shared" si="2"/>
        <v>0</v>
      </c>
      <c r="AH13" s="896">
        <f t="shared" si="2"/>
        <v>30</v>
      </c>
      <c r="AI13" s="896">
        <f t="shared" si="2"/>
        <v>0</v>
      </c>
      <c r="AJ13" s="896">
        <f t="shared" si="2"/>
        <v>0</v>
      </c>
      <c r="AK13" s="896">
        <f t="shared" si="2"/>
        <v>0</v>
      </c>
      <c r="AL13" s="896">
        <f t="shared" si="2"/>
        <v>0</v>
      </c>
      <c r="AM13" s="896">
        <f t="shared" si="2"/>
        <v>679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56</v>
      </c>
      <c r="BD13" s="896">
        <f t="shared" si="2"/>
        <v>103</v>
      </c>
      <c r="BE13" s="896">
        <f t="shared" si="2"/>
        <v>0</v>
      </c>
      <c r="BF13" s="896">
        <f t="shared" si="2"/>
        <v>0</v>
      </c>
      <c r="BG13" s="896">
        <f>IF(ISNUMBER(Datos!K13/Datos!J13),Datos!K13/Datos!J13," - ")</f>
        <v>1.1413043478260869</v>
      </c>
      <c r="BH13" s="900">
        <f>IF(ISNUMBER(((Datos!L13/Datos!K13)*11)/factor_trimestre),((Datos!L13/Datos!K13)*11)/factor_trimestre," - ")</f>
        <v>8.1000000000000014</v>
      </c>
      <c r="BI13" s="896">
        <f>IF(ISNUMBER('Resol  Asuntos'!D13/NºAsuntos!G13),'Resol  Asuntos'!D13/NºAsuntos!G13," - ")</f>
        <v>0.23628691983122363</v>
      </c>
      <c r="BJ13" s="896" t="str">
        <f>IF(ISNUMBER(Datos!CI13/Datos!CJ13),Datos!CI13/Datos!CJ13," - ")</f>
        <v xml:space="preserve"> - </v>
      </c>
      <c r="BK13" s="896">
        <f>SUBTOTAL(9,BK8:BK12)</f>
        <v>0</v>
      </c>
      <c r="BL13" s="896">
        <f>IF(ISNUMBER((I13-AB13+L13)/(F13)),(I13-AB13+L13)/(F13)," - ")</f>
        <v>-0.2</v>
      </c>
      <c r="BM13" s="901">
        <f>SUBTOTAL(9,BM9:BM12)</f>
        <v>2.8963414634146343E-2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72.987992791347011</v>
      </c>
      <c r="CF15" s="228">
        <f ca="1">AVERAGEIFS($AB:$AB,$BW:$BW,BW15,$BX:$BX,BX15)</f>
        <v>72.987992791347011</v>
      </c>
      <c r="CG15" s="1191">
        <v>0.7</v>
      </c>
      <c r="CH15" s="1191">
        <f ca="1">AVERAGEIF($BW:$BW,BW15,$AC:$AC)</f>
        <v>10.8</v>
      </c>
      <c r="CI15" s="228">
        <f ca="1">AVERAGEIFS($AC:$AC,$BW:$BW,BW15,$BX:$BX,BX15)</f>
        <v>10.8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290.66666666666669</v>
      </c>
      <c r="CR15" s="228">
        <f ca="1">AVERAGEIFS($AF:$AF,$BW:$BW,BW15,$BX:$BX,BX15)</f>
        <v>290.66666666666669</v>
      </c>
      <c r="CS15" s="1191">
        <v>1.3</v>
      </c>
      <c r="CT15" s="1191">
        <v>1.5</v>
      </c>
      <c r="CU15" s="1191">
        <f ca="1">AVERAGEIF($BW:$BW,$BW15,$AH:$AH)</f>
        <v>12.857142857142858</v>
      </c>
      <c r="CV15" s="228">
        <f ca="1">AVERAGEIFS($AH:$AH,$BW:$BW,$BW15,$BX:$BX,$BX15)</f>
        <v>12.857142857142858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223.5</v>
      </c>
      <c r="DH15" s="228">
        <f ca="1">AVERAGEIFS($AM:$AM,$BW:$BW,$BW15,$BX:$BX,$BX15)</f>
        <v>223.5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6.9904227665653567</v>
      </c>
      <c r="ER15" s="228">
        <f ca="1">AVERAGEIFS($BH:$BH,$BW:$BW,$BW15,$BX:$BX,$BX15)</f>
        <v>6.9904227665653567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72.987992791347011</v>
      </c>
      <c r="CF16" s="228">
        <f ca="1">AVERAGEIFS($AB:$AB,$BW:$BW,BW16,$BX:$BX,BX16)</f>
        <v>72.987992791347011</v>
      </c>
      <c r="CG16" s="1191">
        <v>0.7</v>
      </c>
      <c r="CH16" s="1191">
        <f ca="1">AVERAGEIF($BW:$BW,BW16,$AC:$AC)</f>
        <v>10.8</v>
      </c>
      <c r="CI16" s="228">
        <f ca="1">AVERAGEIFS($AC:$AC,$BW:$BW,BW16,$BX:$BX,BX16)</f>
        <v>10.8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290.66666666666669</v>
      </c>
      <c r="CR16" s="228">
        <f ca="1">AVERAGEIFS($AF:$AF,$BW:$BW,BW16,$BX:$BX,BX16)</f>
        <v>290.66666666666669</v>
      </c>
      <c r="CS16" s="1191">
        <v>1.3</v>
      </c>
      <c r="CT16" s="1191">
        <v>1.5</v>
      </c>
      <c r="CU16" s="1191">
        <f ca="1">AVERAGEIF($BW:$BW,$BW16,$AH:$AH)</f>
        <v>12.857142857142858</v>
      </c>
      <c r="CV16" s="228">
        <f ca="1">AVERAGEIFS($AH:$AH,$BW:$BW,$BW16,$BX:$BX,$BX16)</f>
        <v>12.857142857142858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223.5</v>
      </c>
      <c r="DH16" s="228">
        <f ca="1">AVERAGEIFS($AM:$AM,$BW:$BW,$BW16,$BX:$BX,$BX16)</f>
        <v>223.5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6.9904227665653567</v>
      </c>
      <c r="ER16" s="228">
        <f ca="1">AVERAGEIFS($BH:$BH,$BW:$BW,$BW16,$BX:$BX,$BX16)</f>
        <v>6.9904227665653567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775</v>
      </c>
      <c r="G17" s="596">
        <f>IF(ISNUMBER(IF(D_I="SI",Datos!I17,Datos!I17+Datos!AC17)),IF(D_I="SI",Datos!I17,Datos!I17+Datos!AC17)," - ")</f>
        <v>775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174</v>
      </c>
      <c r="AC17" s="224">
        <f>IF(ISNUMBER(Datos!Q17),Datos!Q17," - ")</f>
        <v>3</v>
      </c>
      <c r="AD17" s="224"/>
      <c r="AE17" s="224"/>
      <c r="AF17" s="224">
        <f>IF(ISNUMBER(IF(D_I="SI",Datos!L17,Datos!L17+Datos!AF17)),IF(D_I="SI",Datos!L17,Datos!L17+Datos!AF17)," - ")</f>
        <v>795</v>
      </c>
      <c r="AG17" s="333"/>
      <c r="AH17" s="224"/>
      <c r="AI17" s="224"/>
      <c r="AJ17" s="224"/>
      <c r="AK17" s="333"/>
      <c r="AL17" s="478"/>
      <c r="AM17" s="224">
        <f>IF(ISNUMBER(Datos!R17),Datos!R17," - ")</f>
        <v>66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26</v>
      </c>
      <c r="BD17" s="228">
        <f>IF(ISNUMBER(Datos!N17),Datos!N17," - ")</f>
        <v>106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0.89690721649484539</v>
      </c>
      <c r="BH17" s="224">
        <f>IF(ISNUMBER(((IF(D_I="SI",Datos!L17/Datos!K17,(Datos!L17+Datos!AF17)/(Datos!K17+Datos!AE17)))*11)/factor_trimestre),((IF(D_I="SI",Datos!L17/Datos!K17,(Datos!L17+Datos!AF17)/(Datos!K17+Datos!AE17)))*11)/factor_trimestre," - ")</f>
        <v>13.706896551724137</v>
      </c>
      <c r="BI17" s="242">
        <f>IF(ISNUMBER('Resol  Asuntos'!D17/NºAsuntos!G17),'Resol  Asuntos'!D17/NºAsuntos!G17," - ")</f>
        <v>0.14942528735632185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72.987992791347011</v>
      </c>
      <c r="CF17" s="228">
        <f ca="1">AVERAGEIFS($AB:$AB,$BW:$BW,BW17,$BX:$BX,BX17)</f>
        <v>72.987992791347011</v>
      </c>
      <c r="CG17" s="1191">
        <v>0.7</v>
      </c>
      <c r="CH17" s="1191">
        <f ca="1">AVERAGEIF($BW:$BW,BW17,$AC:$AC)</f>
        <v>10.8</v>
      </c>
      <c r="CI17" s="228">
        <f ca="1">AVERAGEIFS($AC:$AC,$BW:$BW,BW17,$BX:$BX,BX17)</f>
        <v>10.8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290.66666666666669</v>
      </c>
      <c r="CR17" s="228">
        <f ca="1">AVERAGEIFS($AF:$AF,$BW:$BW,BW17,$BX:$BX,BX17)</f>
        <v>290.66666666666669</v>
      </c>
      <c r="CS17" s="1191">
        <v>1.3</v>
      </c>
      <c r="CT17" s="1191">
        <v>1.5</v>
      </c>
      <c r="CU17" s="1191">
        <f ca="1">AVERAGEIF($BW:$BW,$BW17,$AH:$AH)</f>
        <v>12.857142857142858</v>
      </c>
      <c r="CV17" s="228">
        <f ca="1">AVERAGEIFS($AH:$AH,$BW:$BW,$BW17,$BX:$BX,$BX17)</f>
        <v>12.857142857142858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223.5</v>
      </c>
      <c r="DH17" s="228">
        <f ca="1">AVERAGEIFS($AM:$AM,$BW:$BW,$BW17,$BX:$BX,$BX17)</f>
        <v>223.5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6.9904227665653567</v>
      </c>
      <c r="ER17" s="228">
        <f ca="1">AVERAGEIFS($BH:$BH,$BW:$BW,$BW17,$BX:$BX,$BX17)</f>
        <v>6.9904227665653567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35</v>
      </c>
      <c r="AC18" s="224">
        <f>IF(ISNUMBER(Datos!Q18),Datos!Q18," - ")</f>
        <v>0</v>
      </c>
      <c r="AD18" s="224"/>
      <c r="AE18" s="224"/>
      <c r="AF18" s="224">
        <f>IF(ISNUMBER(Datos!L18),Datos!L18,"-")</f>
        <v>72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21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0.94594594594594594</v>
      </c>
      <c r="BH18" s="224">
        <f>IF(ISNUMBER(((IF(D_I="SI",Datos!L18/Datos!K18,(Datos!L18+Datos!AF18)/(Datos!K18+Datos!AE18)))*11)/factor_trimestre),((IF(D_I="SI",Datos!L18/Datos!K18,(Datos!L18+Datos!AF18)/(Datos!K18+Datos!AE18)))*11)/factor_trimestre," - ")</f>
        <v>6.1714285714285708</v>
      </c>
      <c r="BI18" s="242">
        <f>IF(ISNUMBER('Resol  Asuntos'!D18/NºAsuntos!G18),'Resol  Asuntos'!D18/NºAsuntos!G18," - ")</f>
        <v>0.11428571428571428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72.987992791347011</v>
      </c>
      <c r="CF18" s="228">
        <f ca="1">AVERAGEIFS($AB:$AB,$BW:$BW,BW18,$BX:$BX,BX18)</f>
        <v>72.987992791347011</v>
      </c>
      <c r="CG18" s="1191">
        <v>0.7</v>
      </c>
      <c r="CH18" s="1191">
        <f ca="1">AVERAGEIF($BW:$BW,BW18,$AC:$AC)</f>
        <v>10.8</v>
      </c>
      <c r="CI18" s="228">
        <f ca="1">AVERAGEIFS($AC:$AC,$BW:$BW,BW18,$BX:$BX,BX18)</f>
        <v>10.8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290.66666666666669</v>
      </c>
      <c r="CR18" s="228">
        <f ca="1">AVERAGEIFS($AF:$AF,$BW:$BW,BW18,$BX:$BX,BX18)</f>
        <v>290.66666666666669</v>
      </c>
      <c r="CS18" s="1191">
        <v>1.3</v>
      </c>
      <c r="CT18" s="1191">
        <v>1.5</v>
      </c>
      <c r="CU18" s="1191">
        <f ca="1">AVERAGEIF($BW:$BW,$BW18,$AH:$AH)</f>
        <v>12.857142857142858</v>
      </c>
      <c r="CV18" s="228">
        <f ca="1">AVERAGEIFS($AH:$AH,$BW:$BW,$BW18,$BX:$BX,$BX18)</f>
        <v>12.857142857142858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223.5</v>
      </c>
      <c r="DH18" s="228">
        <f ca="1">AVERAGEIFS($AM:$AM,$BW:$BW,$BW18,$BX:$BX,$BX18)</f>
        <v>223.5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6.9904227665653567</v>
      </c>
      <c r="ER18" s="228">
        <f ca="1">AVERAGEIFS($BH:$BH,$BW:$BW,$BW18,$BX:$BX,$BX18)</f>
        <v>6.9904227665653567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775</v>
      </c>
      <c r="G19" s="895">
        <f>SUBTOTAL(9,G15:G18)</f>
        <v>843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209</v>
      </c>
      <c r="AC19" s="896">
        <f t="shared" si="5"/>
        <v>3</v>
      </c>
      <c r="AD19" s="896">
        <f t="shared" si="5"/>
        <v>0</v>
      </c>
      <c r="AE19" s="896">
        <f t="shared" si="5"/>
        <v>0</v>
      </c>
      <c r="AF19" s="896">
        <f t="shared" si="5"/>
        <v>867</v>
      </c>
      <c r="AG19" s="896">
        <f t="shared" si="5"/>
        <v>0</v>
      </c>
      <c r="AH19" s="896">
        <f t="shared" si="5"/>
        <v>0</v>
      </c>
      <c r="AI19" s="896">
        <f t="shared" si="5"/>
        <v>0</v>
      </c>
      <c r="AJ19" s="896">
        <f t="shared" si="5"/>
        <v>0</v>
      </c>
      <c r="AK19" s="896">
        <f t="shared" si="5"/>
        <v>0</v>
      </c>
      <c r="AL19" s="896">
        <f t="shared" si="5"/>
        <v>0</v>
      </c>
      <c r="AM19" s="896">
        <f t="shared" si="5"/>
        <v>66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30</v>
      </c>
      <c r="BD19" s="896">
        <f t="shared" si="5"/>
        <v>127</v>
      </c>
      <c r="BE19" s="896">
        <f t="shared" si="5"/>
        <v>0</v>
      </c>
      <c r="BF19" s="896">
        <f t="shared" si="5"/>
        <v>0</v>
      </c>
      <c r="BG19" s="896">
        <f>IF(ISNUMBER(Datos!K19/Datos!J19),Datos!K19/Datos!J19," - ")</f>
        <v>0.90476190476190477</v>
      </c>
      <c r="BH19" s="900">
        <f>IF(ISNUMBER(((Datos!L19/Datos!K19)*11)/factor_trimestre),((Datos!L19/Datos!K19)*11)/factor_trimestre," - ")</f>
        <v>12.444976076555024</v>
      </c>
      <c r="BI19" s="896">
        <f>SUBTOTAL(9,BI15:BI18)</f>
        <v>0.26371100164203615</v>
      </c>
      <c r="BJ19" s="896">
        <f>SUBTOTAL(9,BJ15:BJ18)</f>
        <v>0</v>
      </c>
      <c r="BK19" s="896">
        <f>SUBTOTAL(9,BK15:BK18)</f>
        <v>0</v>
      </c>
      <c r="BL19" s="896">
        <f>IF(ISNUMBER((I19-AB19+L19)/(F19)),(I19-AB19+L19)/(F19)," - ")</f>
        <v>-0.26967741935483869</v>
      </c>
      <c r="BM19" s="902">
        <f>IF(ISNUMBER((Datos!P19-Datos!Q19)/(Datos!R19-Datos!P19+Datos!Q19)),(Datos!P19-Datos!Q19)/(Datos!R19-Datos!P19+Datos!Q19)," - ")</f>
        <v>0.15789473684210525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780</v>
      </c>
      <c r="G20" s="817">
        <f t="shared" si="7"/>
        <v>848</v>
      </c>
      <c r="H20" s="819">
        <f t="shared" si="7"/>
        <v>0</v>
      </c>
      <c r="I20" s="817">
        <f t="shared" si="7"/>
        <v>0</v>
      </c>
      <c r="J20" s="819">
        <f t="shared" si="7"/>
        <v>0</v>
      </c>
      <c r="K20" s="819">
        <f t="shared" si="7"/>
        <v>0</v>
      </c>
      <c r="L20" s="878">
        <f t="shared" si="7"/>
        <v>0</v>
      </c>
      <c r="M20" s="878">
        <f t="shared" si="7"/>
        <v>0</v>
      </c>
      <c r="N20" s="878">
        <f t="shared" si="7"/>
        <v>29</v>
      </c>
      <c r="O20" s="878">
        <f t="shared" si="7"/>
        <v>0</v>
      </c>
      <c r="P20" s="878">
        <f t="shared" si="7"/>
        <v>0</v>
      </c>
      <c r="Q20" s="819">
        <f t="shared" si="7"/>
        <v>64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210</v>
      </c>
      <c r="AC20" s="818">
        <f t="shared" si="8"/>
        <v>36</v>
      </c>
      <c r="AD20" s="818">
        <f t="shared" si="8"/>
        <v>0</v>
      </c>
      <c r="AE20" s="818">
        <f t="shared" si="8"/>
        <v>0</v>
      </c>
      <c r="AF20" s="825">
        <f t="shared" si="8"/>
        <v>872</v>
      </c>
      <c r="AG20" s="825">
        <f t="shared" si="8"/>
        <v>0</v>
      </c>
      <c r="AH20" s="825">
        <f t="shared" si="8"/>
        <v>30</v>
      </c>
      <c r="AI20" s="825">
        <f t="shared" si="8"/>
        <v>0</v>
      </c>
      <c r="AJ20" s="818">
        <f t="shared" si="8"/>
        <v>0</v>
      </c>
      <c r="AK20" s="825">
        <f t="shared" si="8"/>
        <v>0</v>
      </c>
      <c r="AL20" s="825">
        <f t="shared" si="8"/>
        <v>0</v>
      </c>
      <c r="AM20" s="825">
        <f t="shared" si="8"/>
        <v>745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86</v>
      </c>
      <c r="BD20" s="817">
        <f t="shared" si="8"/>
        <v>230</v>
      </c>
      <c r="BE20" s="817">
        <f t="shared" si="8"/>
        <v>0</v>
      </c>
      <c r="BF20" s="827">
        <f t="shared" si="8"/>
        <v>0</v>
      </c>
      <c r="BG20" s="912">
        <f>IF(ISNUMBER(Datos!K20/Datos!J20),Datos!K20/Datos!J20," - ")</f>
        <v>1.0096385542168675</v>
      </c>
      <c r="BH20" s="912">
        <f>IF(ISNUMBER(((Datos!L20/Datos!K20)*11)/factor_trimestre),((Datos!L20/Datos!K20)*11)/factor_trimestre," - ")</f>
        <v>10.2673031026253</v>
      </c>
      <c r="BI20" s="810">
        <f>IF(ISNUMBER(Datos!J20/Datos!I20),Datos!J20/Datos!I20," - ")</f>
        <v>0.28899721448467969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-0.26923076923076922</v>
      </c>
      <c r="BM20" s="886">
        <f>IF(ISNUMBER((Datos!P20-Datos!Q20+R20)/(Datos!R20-Datos!P20+Datos!Q20-R20)),(Datos!P20-Datos!Q20+R20)/(Datos!R20-Datos!P20+Datos!Q20-R20)," - ")</f>
        <v>3.9051603905160388E-2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444.55970727601186</v>
      </c>
      <c r="G22" s="551">
        <f>IF(ISNUMBER(STDEV(G8:G19)),STDEV(G8:G19),"-")</f>
        <v>430.30942355472536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99.879927913470183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23.762715894162152</v>
      </c>
      <c r="BD22" s="550"/>
      <c r="BE22" s="550">
        <f>IF(ISNUMBER(STDEV(BE8:BE19)),STDEV(BE8:BE19),"-")</f>
        <v>0</v>
      </c>
      <c r="BF22" s="555">
        <f>IF(ISNUMBER(STDEV(BF8:BF19)),STDEV(BF8:BF19),"-")</f>
        <v>0</v>
      </c>
      <c r="BG22" s="772">
        <f>IF(ISNUMBER(STDEV(BG8:BG19)),STDEV(BG8:BG19),"-")</f>
        <v>0.1052638314058172</v>
      </c>
      <c r="BH22" s="773">
        <f>IF(ISNUMBER(STDEV(BH8:BH19)),STDEV(BH8:BH19),"-")</f>
        <v>3.678622401072337</v>
      </c>
      <c r="BI22" s="248">
        <f>IF(ISNUMBER(STDEV(BI8:BI19)),STDEV(BI8:BI19),"-")</f>
        <v>7.059582624633251E-2</v>
      </c>
      <c r="BJ22" s="986" t="str">
        <f>IF(ISNUMBER(BL22/BM22),BL22/BM22," - ")</f>
        <v xml:space="preserve"> - </v>
      </c>
      <c r="BK22" s="574"/>
      <c r="BL22" s="558">
        <f>IF(ISNUMBER(STDEV(BL8:BL19)),STDEV(BL8:BL19),"-")</f>
        <v>4.9269375721385317E-2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1wn3S+TaNUd42FL/ydsVuCEXVC4kxCWwUbDjBs0cM3GWevNzdjQdyBpanW1D8JTKB4X3CsIFSEYuFqkLEUHpkQ==" saltValue="2gddi9r+7Mzqt4MWB5leD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BIZKAIA  Resumenes por Partidos Judiciales  BALMASEDA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0.23628691983122363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0.16708008331834034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lMPF9uHQ+H3Qyo7v48Ld3dc/gqzTD2LFQVsTeqDCDb1zQwPQ+SVJwEtib+7GhGMZW0sHH9whmytndJJTxuUkQ==" saltValue="r1OBkOh0505/JbCQhU4oj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BIZKAIA</v>
      </c>
      <c r="C4" s="787" t="str">
        <f>IF(Criterios!B11=0,"",Criterios!B11)</f>
        <v>BALMASEDA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NbufrBAs/AR4hCfPN19nr+Cf+rAYbObpL7ys51YB1PsYezl+oephToQJyyQDWhiStYfE1Wde1/ABpi29xCivQ==" saltValue="LI+nfpv05Z706rcIRFsk8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